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x6uAv/4uc52yStfKUBfFIEyY3gSuIlABGMfmd05ZUQy37IfP7p/agZz+zykKTtjebspjGUeLC2RZNv61jMmYJw==" workbookSaltValue="dlFoYiW9RPzFLq03z/NU5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Y20" i="8" s="1"/>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BF16" i="8"/>
  <c r="AY14" i="8"/>
  <c r="BG16" i="8"/>
  <c r="K16" i="7" s="1"/>
  <c r="BD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BE9" i="8"/>
  <c r="R21" i="8"/>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<sst xmlns="http://schemas.openxmlformats.org/spreadsheetml/2006/main" count="2201" uniqueCount="971">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</sst>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0XXRblbCMIQMlOw+qpjuuNTotw5tTuPT4scQC4syo95vOG8E7VP7KPZsCtoV1RTM8TYje93xM066IJe+CLY/A==" saltValue="7GHNjLNpdVRgqjpAc9oz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74.900049975012493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28</v>
      </c>
      <c r="D10" s="230">
        <f>IF(ISNUMBER(Datos!I10),Datos!I10," - ")</f>
        <v>28</v>
      </c>
      <c r="E10" s="231">
        <f>IF(ISNUMBER(Datos!J10),Datos!J10," - ")</f>
        <v>48</v>
      </c>
      <c r="F10" s="231">
        <f>IF(ISNUMBER(Datos!K10),Datos!K10," - ")</f>
        <v>6</v>
      </c>
      <c r="G10" s="1193" t="str">
        <f>IF(Datos!E10&lt;&gt;"",Datos!E10,Datos!D10)</f>
        <v>37</v>
      </c>
      <c r="H10" s="232">
        <f>IF(ISNUMBER(Datos!L10),Datos!L10," - ")</f>
        <v>70</v>
      </c>
      <c r="I10" s="1203" t="str">
        <f>IF(ISNUMBER(Datos!AS10/Datos!BM10),Datos!AS10/Datos!BM10," - ")</f>
        <v xml:space="preserve"> - </v>
      </c>
      <c r="J10" s="1204">
        <f>IF(ISNUMBER(Datos!BY10/Datos!CN10),Datos!BY10/Datos!CN10," - ")</f>
        <v>0</v>
      </c>
      <c r="K10" s="235">
        <f t="shared" ref="K10:K13" si="1">IF(ISNUMBER((E10-F10)/C10),(E10-F10)/C10," - ")</f>
        <v>1.5</v>
      </c>
      <c r="L10" s="1205">
        <f>IF(ISNUMBER(NºAsuntos!I10/NºAsuntos!G10),(NºAsuntos!I10/NºAsuntos!G10)*11," - ")</f>
        <v>128.33333333333331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28</v>
      </c>
      <c r="D14" s="1210">
        <f>SUBTOTAL(9,D9:D13)</f>
        <v>28</v>
      </c>
      <c r="E14" s="1211">
        <f>SUBTOTAL(9,E9:E13)</f>
        <v>48</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4777</v>
      </c>
      <c r="D16" s="230">
        <f>IF(ISNUMBER(IF(D_I="SI",Datos!I16,Datos!I16+Datos!AC16)),IF(D_I="SI",Datos!I16,Datos!I16+Datos!AC16)," - ")</f>
        <v>4776</v>
      </c>
      <c r="E16" s="231">
        <f>IF(ISNUMBER(IF(D_I="SI",Datos!J16,Datos!J16+Datos!AD16)),IF(D_I="SI",Datos!J16,Datos!J16+Datos!AD16)," - ")</f>
        <v>3081</v>
      </c>
      <c r="F16" s="231">
        <f>IF(ISNUMBER(IF(D_I="SI",Datos!K16,Datos!K16+Datos!AE16)),IF(D_I="SI",Datos!K16,Datos!K16+Datos!AE16)," - ")</f>
        <v>2903</v>
      </c>
      <c r="G16" s="1193" t="str">
        <f>IF(Datos!E16&lt;&gt;"",Datos!E16,Datos!D16)</f>
        <v>03</v>
      </c>
      <c r="H16" s="232">
        <f>IF(ISNUMBER(IF(D_I="SI",Datos!L16,Datos!L16+Datos!AF16)),IF(D_I="SI",Datos!L16,Datos!L16+Datos!AF16)," - ")</f>
        <v>4955</v>
      </c>
      <c r="I16" s="1203" t="str">
        <f>IF(ISNUMBER(Datos!AS16/Datos!BM16),Datos!AS16/Datos!BM16," - ")</f>
        <v xml:space="preserve"> - </v>
      </c>
      <c r="J16" s="1204">
        <f>IF(ISNUMBER(Datos!BY16/Datos!CN16),Datos!BY16/Datos!CN16," - ")</f>
        <v>0</v>
      </c>
      <c r="K16" s="235">
        <f t="shared" ref="K16:K19" si="3">IF(ISNUMBER((E16-F16)/C16),(E16-F16)/C16," - ")</f>
        <v>3.726187984090433E-2</v>
      </c>
      <c r="L16" s="1205">
        <f>IF(ISNUMBER(NºAsuntos!I16/NºAsuntos!G16),(NºAsuntos!I16/NºAsuntos!G16)*11," - ")</f>
        <v>18.775404753703064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8</v>
      </c>
      <c r="D17" s="230">
        <f>IF(ISNUMBER(IF(D_I="SI",Datos!I17,Datos!I17+Datos!AC17)),IF(D_I="SI",Datos!I17,Datos!I17+Datos!AC17)," - ")</f>
        <v>8</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8</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64</v>
      </c>
      <c r="D18" s="230">
        <f>IF(ISNUMBER(IF(D_I="SI",Datos!I18,Datos!I18+Datos!AC18)),IF(D_I="SI",Datos!I18,Datos!I18+Datos!AC18)," - ")</f>
        <v>64</v>
      </c>
      <c r="E18" s="231">
        <f>IF(ISNUMBER(IF(D_I="SI",Datos!J18,Datos!J18+Datos!AD18)),IF(D_I="SI",Datos!J18,Datos!J18+Datos!AD18)," - ")</f>
        <v>359</v>
      </c>
      <c r="F18" s="231">
        <f>IF(ISNUMBER(IF(D_I="SI",Datos!K18,Datos!K18+Datos!AE18)),IF(D_I="SI",Datos!K18,Datos!K18+Datos!AE18)," - ")</f>
        <v>329</v>
      </c>
      <c r="G18" s="1193" t="str">
        <f>IF(Datos!E18&lt;&gt;"",Datos!E18,Datos!D18)</f>
        <v>37</v>
      </c>
      <c r="H18" s="232">
        <f>IF(ISNUMBER(IF(D_I="SI",Datos!L18,Datos!L18+Datos!AF18)),IF(D_I="SI",Datos!L18,Datos!L18+Datos!AF18)," - ")</f>
        <v>94</v>
      </c>
      <c r="I18" s="1203" t="str">
        <f>IF(ISNUMBER(Datos!AS18/Datos!BM18),Datos!AS18/Datos!BM18," - ")</f>
        <v xml:space="preserve"> - </v>
      </c>
      <c r="J18" s="1204" t="str">
        <f>IF(ISNUMBER((Datos!BY18+Datos!BZ18)/Datos!CN18),(Datos!BY18+Datos!BZ18)/Datos!CN18," - ")</f>
        <v xml:space="preserve"> - </v>
      </c>
      <c r="K18" s="235">
        <f t="shared" si="3"/>
        <v>0.46875</v>
      </c>
      <c r="L18" s="1205">
        <f>IF(ISNUMBER(NºAsuntos!I18/NºAsuntos!G18),(NºAsuntos!I18/NºAsuntos!G18)*11," - ")</f>
        <v>3.1428571428571428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4849</v>
      </c>
      <c r="D20" s="1210">
        <f>SUBTOTAL(9,D16:D19)</f>
        <v>4848</v>
      </c>
      <c r="E20" s="1211">
        <f>SUBTOTAL(9,E16:E19)</f>
        <v>3440</v>
      </c>
      <c r="F20" s="1211">
        <f>SUBTOTAL(9,F16:F19)</f>
        <v>3232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4877</v>
      </c>
      <c r="D21" s="1232">
        <f>SUBTOTAL(9,D9:D20)</f>
        <v>4876</v>
      </c>
      <c r="E21" s="1233">
        <f>SUBTOTAL(9,E9:E20)</f>
        <v>3488</v>
      </c>
      <c r="F21" s="1233">
        <f>SUBTOTAL(9,F9:F20)</f>
        <v>3238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c/DtIlARiSnGQxZqor3MA2+tnHIqlMf3RLMTF/MgeEtIxa96Ks4oRZfTFYGM0S+nGtFTH4sZBgX+hiVeo6i8eg==" saltValue="ldtsGjZJWVXl/agx+h/QD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KybuhU/kZIORkgAtLOlY5xVVahJQYXk6uHeN+F9Vs2GU1zmwkOpSqG6EmaSGoAjgUBhSe7IcNw+65Tnot0oGkA==" saltValue="lWPd6I9E5N1y/zhnPROA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13023</v>
      </c>
      <c r="J9" s="186">
        <v>2853</v>
      </c>
      <c r="K9" s="186">
        <v>1899</v>
      </c>
      <c r="L9" s="186">
        <v>13276</v>
      </c>
      <c r="M9" s="186">
        <v>421</v>
      </c>
      <c r="N9" s="186">
        <v>841</v>
      </c>
      <c r="O9" s="186">
        <v>849</v>
      </c>
      <c r="P9" s="186">
        <v>462</v>
      </c>
      <c r="Q9" s="186">
        <v>123</v>
      </c>
      <c r="R9" s="186">
        <v>11445</v>
      </c>
      <c r="S9" s="186">
        <v>11968</v>
      </c>
      <c r="T9" s="186">
        <v>2642</v>
      </c>
      <c r="U9" s="186">
        <v>2116</v>
      </c>
      <c r="V9" s="186">
        <v>12494</v>
      </c>
      <c r="W9" s="186">
        <v>533</v>
      </c>
      <c r="X9" s="193">
        <v>799</v>
      </c>
      <c r="Y9" s="196">
        <v>336</v>
      </c>
      <c r="Z9" s="186">
        <v>145</v>
      </c>
      <c r="AA9" s="186">
        <v>102</v>
      </c>
      <c r="AB9" s="186">
        <v>349</v>
      </c>
      <c r="AC9" s="186">
        <v>0</v>
      </c>
      <c r="AD9" s="186">
        <v>0</v>
      </c>
      <c r="AE9" s="186">
        <v>0</v>
      </c>
      <c r="AF9" s="193">
        <v>0</v>
      </c>
      <c r="AG9" s="196">
        <v>349</v>
      </c>
      <c r="AH9" s="186">
        <v>99</v>
      </c>
      <c r="AI9" s="186">
        <v>91</v>
      </c>
      <c r="AJ9" s="197">
        <v>357</v>
      </c>
      <c r="AK9" s="185">
        <v>0</v>
      </c>
      <c r="AL9" s="186">
        <v>0</v>
      </c>
      <c r="AM9" s="186">
        <v>0</v>
      </c>
      <c r="AN9" s="193">
        <v>0</v>
      </c>
      <c r="AO9" s="263">
        <v>6</v>
      </c>
      <c r="AP9" s="159">
        <v>6</v>
      </c>
      <c r="AQ9" s="159">
        <v>6</v>
      </c>
      <c r="AR9" s="198">
        <v>6</v>
      </c>
      <c r="AS9" s="348" t="s">
        <v>863</v>
      </c>
      <c r="AT9" s="200"/>
      <c r="AU9" s="199"/>
      <c r="AV9" s="200"/>
      <c r="AW9" s="199"/>
      <c r="AX9" s="200"/>
      <c r="AY9" s="125">
        <f>IF(ISNUMBER(IF(J_V="SI",S9,S9+AG9)),IF(J_V="SI",S9,S9+AG9)," - ")</f>
        <v>12317</v>
      </c>
      <c r="AZ9" s="125">
        <f>IF(ISNUMBER(IF(J_V="SI",T9,T9+AH9)),IF(J_V="SI",T9,T9+AH9)," - ")</f>
        <v>2741</v>
      </c>
      <c r="BA9" s="126">
        <f>IF(ISNUMBER(IF(J_V="SI",U9,U9+AI9)),IF(J_V="SI",U9,U9+AI9)," - ")</f>
        <v>2207</v>
      </c>
      <c r="BB9" s="126">
        <f>IF(ISNUMBER(IF(J_V="SI",V9,V9+AJ9)),IF(J_V="SI",V9,V9+AJ9)," - ")</f>
        <v>12851</v>
      </c>
      <c r="BC9" s="127">
        <f>IF(ISNUMBER(X9),X9," - ")</f>
        <v>799</v>
      </c>
      <c r="BD9" s="128">
        <f>IF(ISNUMBER(BA9/AZ9),BA9/AZ9," - ")</f>
        <v>0.80518059102517325</v>
      </c>
      <c r="BE9" s="129">
        <f>IF(ISNUMBER(BB9/BA9),BB9/BA9, " - ")</f>
        <v>5.8228364295423649</v>
      </c>
      <c r="BF9" s="129">
        <f>IF(ISNUMBER(BC9/BA9),BC9/BA9, " - ")</f>
        <v>0.36202990484821024</v>
      </c>
      <c r="BG9" s="201">
        <f>IF(ISNUMBER((AY9+AZ9)/BA9),(AY9+AZ9)/BA9," - ")</f>
        <v>6.8228364295423649</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28</v>
      </c>
      <c r="J10" s="186">
        <v>48</v>
      </c>
      <c r="K10" s="186">
        <v>6</v>
      </c>
      <c r="L10" s="186">
        <v>70</v>
      </c>
      <c r="M10" s="186">
        <v>2</v>
      </c>
      <c r="N10" s="186">
        <v>4</v>
      </c>
      <c r="O10" s="186">
        <v>0</v>
      </c>
      <c r="P10" s="186">
        <v>7</v>
      </c>
      <c r="Q10" s="186">
        <v>0</v>
      </c>
      <c r="R10" s="186">
        <v>61</v>
      </c>
      <c r="S10" s="186">
        <v>47</v>
      </c>
      <c r="T10" s="186">
        <v>24</v>
      </c>
      <c r="U10" s="186">
        <v>33</v>
      </c>
      <c r="V10" s="186">
        <v>38</v>
      </c>
      <c r="W10" s="186">
        <v>14</v>
      </c>
      <c r="X10" s="193">
        <v>12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857</v>
      </c>
      <c r="AT10" s="197"/>
      <c r="AU10" s="205"/>
      <c r="AV10" s="197"/>
      <c r="AW10" s="205"/>
      <c r="AX10" s="197"/>
      <c r="AY10" s="130">
        <f t="shared" ref="AY10:BC10" si="0">IF(ISNUMBER(S10),S10," - ")</f>
        <v>47</v>
      </c>
      <c r="AZ10" s="131">
        <f t="shared" si="0"/>
        <v>24</v>
      </c>
      <c r="BA10" s="131">
        <f t="shared" si="0"/>
        <v>33</v>
      </c>
      <c r="BB10" s="131">
        <f t="shared" si="0"/>
        <v>38</v>
      </c>
      <c r="BC10" s="127">
        <f t="shared" si="0"/>
        <v>14</v>
      </c>
      <c r="BD10" s="128">
        <f>IF(ISNUMBER(BA10/AZ10),BA10/AZ10," - ")</f>
        <v>1.375</v>
      </c>
      <c r="BE10" s="129">
        <f>IF(ISNUMBER(BB10/BA10),BB10/BA10, " - ")</f>
        <v>1.1515151515151516</v>
      </c>
      <c r="BF10" s="129">
        <f>IF(ISNUMBER(BC10/BA10),BC10/BA10, " - ")</f>
        <v>0.42424242424242425</v>
      </c>
      <c r="BG10" s="201">
        <f>IF(ISNUMBER((AY10+AZ10)/BA10),(AY10+AZ10)/BA10," - ")</f>
        <v>2.1515151515151514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0</v>
      </c>
      <c r="J12" s="188">
        <v>0</v>
      </c>
      <c r="K12" s="188">
        <v>0</v>
      </c>
      <c r="L12" s="188">
        <v>0</v>
      </c>
      <c r="M12" s="188">
        <v>0</v>
      </c>
      <c r="N12" s="188">
        <v>0</v>
      </c>
      <c r="O12" s="186">
        <v>2</v>
      </c>
      <c r="P12" s="188">
        <v>0</v>
      </c>
      <c r="Q12" s="188">
        <v>41</v>
      </c>
      <c r="R12" s="188">
        <v>656</v>
      </c>
      <c r="S12" s="188">
        <v>1</v>
      </c>
      <c r="T12" s="188">
        <v>0</v>
      </c>
      <c r="U12" s="188">
        <v>0</v>
      </c>
      <c r="V12" s="188">
        <v>0</v>
      </c>
      <c r="W12" s="188">
        <v>0</v>
      </c>
      <c r="X12" s="194">
        <v>0</v>
      </c>
      <c r="Y12" s="196">
        <v>1</v>
      </c>
      <c r="Z12" s="186">
        <v>0</v>
      </c>
      <c r="AA12" s="186">
        <v>0</v>
      </c>
      <c r="AB12" s="186">
        <v>1</v>
      </c>
      <c r="AC12" s="188">
        <v>0</v>
      </c>
      <c r="AD12" s="188">
        <v>0</v>
      </c>
      <c r="AE12" s="188">
        <v>0</v>
      </c>
      <c r="AF12" s="194">
        <v>0</v>
      </c>
      <c r="AG12" s="207">
        <v>1</v>
      </c>
      <c r="AH12" s="188">
        <v>0</v>
      </c>
      <c r="AI12" s="188">
        <v>0</v>
      </c>
      <c r="AJ12" s="208">
        <v>1</v>
      </c>
      <c r="AK12" s="187">
        <v>0</v>
      </c>
      <c r="AL12" s="188">
        <v>0</v>
      </c>
      <c r="AM12" s="188">
        <v>0</v>
      </c>
      <c r="AN12" s="194">
        <v>0</v>
      </c>
      <c r="AO12" s="264">
        <v>0</v>
      </c>
      <c r="AP12" s="160">
        <v>0</v>
      </c>
      <c r="AQ12" s="160">
        <v>0</v>
      </c>
      <c r="AR12" s="159">
        <v>0</v>
      </c>
      <c r="AS12" s="350" t="s">
        <v>866</v>
      </c>
      <c r="AT12" s="208"/>
      <c r="AU12" s="207"/>
      <c r="AV12" s="208"/>
      <c r="AW12" s="207"/>
      <c r="AX12" s="208"/>
      <c r="AY12" s="128">
        <f t="shared" si="1"/>
        <v>2</v>
      </c>
      <c r="AZ12" s="129">
        <f t="shared" si="1"/>
        <v>0</v>
      </c>
      <c r="BA12" s="129">
        <f t="shared" si="1"/>
        <v>0</v>
      </c>
      <c r="BB12" s="129">
        <f t="shared" si="1"/>
        <v>1</v>
      </c>
      <c r="BC12" s="127">
        <f>IF(ISNUMBER(X12),X12," - ")</f>
        <v>0</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13051</v>
      </c>
      <c r="J14" s="189">
        <f t="shared" si="7"/>
        <v>2901</v>
      </c>
      <c r="K14" s="189">
        <f t="shared" si="7"/>
        <v>1905</v>
      </c>
      <c r="L14" s="189">
        <f t="shared" si="7"/>
        <v>13346</v>
      </c>
      <c r="M14" s="189">
        <f t="shared" si="7"/>
        <v>423</v>
      </c>
      <c r="N14" s="189">
        <f t="shared" si="7"/>
        <v>845</v>
      </c>
      <c r="O14" s="189">
        <f t="shared" si="7"/>
        <v>851</v>
      </c>
      <c r="P14" s="189">
        <f t="shared" si="7"/>
        <v>469</v>
      </c>
      <c r="Q14" s="189">
        <f t="shared" si="7"/>
        <v>164</v>
      </c>
      <c r="R14" s="189">
        <f t="shared" si="7"/>
        <v>12162</v>
      </c>
      <c r="S14" s="189">
        <f t="shared" si="7"/>
        <v>12016</v>
      </c>
      <c r="T14" s="189">
        <f t="shared" si="7"/>
        <v>2666</v>
      </c>
      <c r="U14" s="189">
        <f t="shared" si="7"/>
        <v>2149</v>
      </c>
      <c r="V14" s="189">
        <f t="shared" si="7"/>
        <v>12532</v>
      </c>
      <c r="W14" s="189">
        <f t="shared" si="7"/>
        <v>547</v>
      </c>
      <c r="X14" s="189">
        <f t="shared" si="7"/>
        <v>811</v>
      </c>
      <c r="Y14" s="189">
        <f t="shared" si="7"/>
        <v>337</v>
      </c>
      <c r="Z14" s="189">
        <f t="shared" si="7"/>
        <v>145</v>
      </c>
      <c r="AA14" s="189">
        <f t="shared" si="7"/>
        <v>102</v>
      </c>
      <c r="AB14" s="189">
        <f t="shared" si="7"/>
        <v>350</v>
      </c>
      <c r="AC14" s="189">
        <f t="shared" si="7"/>
        <v>0</v>
      </c>
      <c r="AD14" s="189">
        <f t="shared" si="7"/>
        <v>0</v>
      </c>
      <c r="AE14" s="189">
        <f t="shared" si="7"/>
        <v>0</v>
      </c>
      <c r="AF14" s="189">
        <f>SUBTOTAL(9,AF9:AF13)</f>
        <v>0</v>
      </c>
      <c r="AG14" s="189">
        <f t="shared" ref="AG14:AT14" si="8">SUBTOTAL(9,AG8:AG13)</f>
        <v>350</v>
      </c>
      <c r="AH14" s="189">
        <f t="shared" si="8"/>
        <v>99</v>
      </c>
      <c r="AI14" s="189">
        <f t="shared" si="8"/>
        <v>91</v>
      </c>
      <c r="AJ14" s="189">
        <f t="shared" si="8"/>
        <v>358</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12366</v>
      </c>
      <c r="AZ14" s="189">
        <f>SUBTOTAL(9,AZ8:AZ13)</f>
        <v>2765</v>
      </c>
      <c r="BA14" s="189">
        <f>SUBTOTAL(9,BA8:BA13)</f>
        <v>2240</v>
      </c>
      <c r="BB14" s="189">
        <f>SUBTOTAL(9,BB8:BB13)</f>
        <v>12890</v>
      </c>
      <c r="BC14" s="189">
        <f>SUBTOTAL(9,BC8:BC13)</f>
        <v>813</v>
      </c>
      <c r="BD14" s="210">
        <f>IF(ISNUMBER(BA14/AZ14),BA14/AZ14," - ")</f>
        <v>0.810126582278481</v>
      </c>
      <c r="BE14" s="211">
        <f>IF(ISNUMBER(BB14/BA14),BB14/BA14, " - ")</f>
        <v>5.7544642857142856</v>
      </c>
      <c r="BF14" s="211">
        <f>IF(ISNUMBER(BC14/BA14),BC14/BA14, " - ")</f>
        <v>0.36294642857142856</v>
      </c>
      <c r="BG14" s="212">
        <f>IF(ISNUMBER((AY14+AZ14)/BA14),(AY14+AZ14)/BA14," - ")</f>
        <v>6.7549107142857139</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4776</v>
      </c>
      <c r="J16" s="188">
        <v>3081</v>
      </c>
      <c r="K16" s="188">
        <v>2903</v>
      </c>
      <c r="L16" s="188">
        <v>4955</v>
      </c>
      <c r="M16" s="188">
        <v>349</v>
      </c>
      <c r="N16" s="188">
        <v>2107</v>
      </c>
      <c r="O16" s="186">
        <v>17</v>
      </c>
      <c r="P16" s="188">
        <v>74</v>
      </c>
      <c r="Q16" s="188">
        <v>54</v>
      </c>
      <c r="R16" s="188">
        <v>355</v>
      </c>
      <c r="S16" s="188">
        <v>3454</v>
      </c>
      <c r="T16" s="188">
        <v>2644</v>
      </c>
      <c r="U16" s="188">
        <v>2611</v>
      </c>
      <c r="V16" s="188">
        <v>3517</v>
      </c>
      <c r="W16" s="188">
        <v>469</v>
      </c>
      <c r="X16" s="194">
        <v>1714</v>
      </c>
      <c r="Y16" s="207">
        <v>0</v>
      </c>
      <c r="Z16" s="188">
        <v>0</v>
      </c>
      <c r="AA16" s="188">
        <v>0</v>
      </c>
      <c r="AB16" s="188">
        <v>0</v>
      </c>
      <c r="AC16" s="188">
        <v>30</v>
      </c>
      <c r="AD16" s="188">
        <v>52</v>
      </c>
      <c r="AE16" s="188">
        <v>77</v>
      </c>
      <c r="AF16" s="194">
        <v>5</v>
      </c>
      <c r="AG16" s="207">
        <v>0</v>
      </c>
      <c r="AH16" s="188">
        <v>0</v>
      </c>
      <c r="AI16" s="188">
        <v>0</v>
      </c>
      <c r="AJ16" s="208">
        <v>0</v>
      </c>
      <c r="AK16" s="187">
        <v>28</v>
      </c>
      <c r="AL16" s="188">
        <v>111</v>
      </c>
      <c r="AM16" s="188">
        <v>109</v>
      </c>
      <c r="AN16" s="194">
        <v>30</v>
      </c>
      <c r="AO16" s="264">
        <v>4</v>
      </c>
      <c r="AP16" s="160">
        <v>4</v>
      </c>
      <c r="AQ16" s="160">
        <v>4</v>
      </c>
      <c r="AR16" s="160">
        <v>4</v>
      </c>
      <c r="AS16" s="350" t="s">
        <v>580</v>
      </c>
      <c r="AT16" s="208" t="s">
        <v>360</v>
      </c>
      <c r="AU16" s="207"/>
      <c r="AV16" s="208"/>
      <c r="AW16" s="207"/>
      <c r="AX16" s="208"/>
      <c r="AY16" s="130">
        <f t="shared" ref="AY16:BB17" si="10">IF(ISNUMBER(IF(D_I="SI",S16,S16+AK16)),IF(D_I="SI",S16,S16+AK16)," - ")</f>
        <v>3454</v>
      </c>
      <c r="AZ16" s="131">
        <f t="shared" si="10"/>
        <v>2644</v>
      </c>
      <c r="BA16" s="131">
        <f t="shared" si="10"/>
        <v>2611</v>
      </c>
      <c r="BB16" s="131">
        <f t="shared" si="10"/>
        <v>3517</v>
      </c>
      <c r="BC16" s="127">
        <f>IF(ISNUMBER(W16),W16," - ")</f>
        <v>469</v>
      </c>
      <c r="BD16" s="128">
        <f>IF(ISNUMBER(BA16/AZ16),BA16/AZ16," - ")</f>
        <v>0.98751891074130105</v>
      </c>
      <c r="BE16" s="129">
        <f>IF(ISNUMBER(BB16/BA16),BB16/BA16, " - ")</f>
        <v>1.346993489084642</v>
      </c>
      <c r="BF16" s="129">
        <f>IF(ISNUMBER(BC16/BA16),BC16/BA16, " - ")</f>
        <v>0.17962466487935658</v>
      </c>
      <c r="BG16" s="201">
        <f t="shared" ref="BG16:BG19" si="11">IF(ISNUMBER((AY16+AZ16)/BA16),(AY16+AZ16)/BA16," - ")</f>
        <v>2.3355036384527001</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v>
      </c>
      <c r="J17" s="188">
        <v>0</v>
      </c>
      <c r="K17" s="188">
        <v>0</v>
      </c>
      <c r="L17" s="188">
        <v>8</v>
      </c>
      <c r="M17" s="188">
        <v>0</v>
      </c>
      <c r="N17" s="188">
        <v>0</v>
      </c>
      <c r="O17" s="186">
        <v>0</v>
      </c>
      <c r="P17" s="188">
        <v>0</v>
      </c>
      <c r="Q17" s="188">
        <v>0</v>
      </c>
      <c r="R17" s="188">
        <v>0</v>
      </c>
      <c r="S17" s="188">
        <v>8</v>
      </c>
      <c r="T17" s="188">
        <v>1</v>
      </c>
      <c r="U17" s="188">
        <v>1</v>
      </c>
      <c r="V17" s="188">
        <v>8</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8</v>
      </c>
      <c r="AZ17" s="129">
        <f t="shared" si="10"/>
        <v>1</v>
      </c>
      <c r="BA17" s="129">
        <f t="shared" si="10"/>
        <v>1</v>
      </c>
      <c r="BB17" s="129">
        <f t="shared" si="10"/>
        <v>8</v>
      </c>
      <c r="BC17" s="127">
        <f>IF(ISNUMBER(W17),W17," - ")</f>
        <v>0</v>
      </c>
      <c r="BD17" s="128">
        <f t="shared" ref="BD17:BD19" si="12">IF(ISNUMBER(BA17/AZ17),BA17/AZ17," - ")</f>
        <v>1</v>
      </c>
      <c r="BE17" s="129">
        <f t="shared" ref="BE17:BE19" si="13">IF(ISNUMBER(BB17/BA17),BB17/BA17, " - ")</f>
        <v>8</v>
      </c>
      <c r="BF17" s="129">
        <f t="shared" ref="BF17:BF19" si="14">IF(ISNUMBER(BC17/BA17),BC17/BA17, " - ")</f>
        <v>0</v>
      </c>
      <c r="BG17" s="201">
        <f t="shared" si="11"/>
        <v>9</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64</v>
      </c>
      <c r="J18" s="188">
        <v>359</v>
      </c>
      <c r="K18" s="188">
        <v>329</v>
      </c>
      <c r="L18" s="188">
        <v>94</v>
      </c>
      <c r="M18" s="188">
        <v>118</v>
      </c>
      <c r="N18" s="188">
        <v>170</v>
      </c>
      <c r="O18" s="188">
        <v>24</v>
      </c>
      <c r="P18" s="188">
        <v>13</v>
      </c>
      <c r="Q18" s="188">
        <v>24</v>
      </c>
      <c r="R18" s="188">
        <v>10</v>
      </c>
      <c r="S18" s="188">
        <v>188</v>
      </c>
      <c r="T18" s="188">
        <v>247</v>
      </c>
      <c r="U18" s="188">
        <v>217</v>
      </c>
      <c r="V18" s="188">
        <v>218</v>
      </c>
      <c r="W18" s="188">
        <v>68</v>
      </c>
      <c r="X18" s="194">
        <v>88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856</v>
      </c>
      <c r="AT18" s="214"/>
      <c r="AU18" s="205"/>
      <c r="AV18" s="214"/>
      <c r="AW18" s="205"/>
      <c r="AX18" s="214"/>
      <c r="AY18" s="130">
        <f t="shared" ref="AY18:BB19" si="15">IF(ISNUMBER(S18),S18," - ")</f>
        <v>188</v>
      </c>
      <c r="AZ18" s="131">
        <f t="shared" si="15"/>
        <v>247</v>
      </c>
      <c r="BA18" s="131">
        <f t="shared" si="15"/>
        <v>217</v>
      </c>
      <c r="BB18" s="131">
        <f t="shared" si="15"/>
        <v>218</v>
      </c>
      <c r="BC18" s="127">
        <f>IF(ISNUMBER(W18),W18," - ")</f>
        <v>68</v>
      </c>
      <c r="BD18" s="128">
        <f>IF(ISNUMBER(BA18/AZ18),BA18/AZ18," - ")</f>
        <v>0.87854251012145745</v>
      </c>
      <c r="BE18" s="129">
        <f>IF(ISNUMBER(BB18/BA18),BB18/BA18, " - ")</f>
        <v>1.0046082949308757</v>
      </c>
      <c r="BF18" s="129">
        <f>IF(ISNUMBER(BC18/BA18),BC18/BA18, " - ")</f>
        <v>0.31336405529953915</v>
      </c>
      <c r="BG18" s="201">
        <f>IF(ISNUMBER((AY18+AZ18)/BA18),(AY18+AZ18)/BA18," - ")</f>
        <v>2.0046082949308754</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4848</v>
      </c>
      <c r="J20" s="189">
        <f t="shared" si="16"/>
        <v>3440</v>
      </c>
      <c r="K20" s="189">
        <f t="shared" si="16"/>
        <v>3232</v>
      </c>
      <c r="L20" s="189">
        <f t="shared" si="16"/>
        <v>5057</v>
      </c>
      <c r="M20" s="189">
        <f t="shared" si="16"/>
        <v>467</v>
      </c>
      <c r="N20" s="189">
        <f t="shared" si="16"/>
        <v>2277</v>
      </c>
      <c r="O20" s="189">
        <f t="shared" si="16"/>
        <v>41</v>
      </c>
      <c r="P20" s="189">
        <f t="shared" si="16"/>
        <v>87</v>
      </c>
      <c r="Q20" s="189">
        <f t="shared" si="16"/>
        <v>78</v>
      </c>
      <c r="R20" s="189">
        <f t="shared" si="16"/>
        <v>365</v>
      </c>
      <c r="S20" s="189">
        <f t="shared" si="16"/>
        <v>3650</v>
      </c>
      <c r="T20" s="189">
        <f t="shared" si="16"/>
        <v>2892</v>
      </c>
      <c r="U20" s="189">
        <f t="shared" si="16"/>
        <v>2829</v>
      </c>
      <c r="V20" s="189">
        <f t="shared" si="16"/>
        <v>3743</v>
      </c>
      <c r="W20" s="189">
        <f t="shared" si="16"/>
        <v>537</v>
      </c>
      <c r="X20" s="189">
        <f t="shared" si="16"/>
        <v>1802</v>
      </c>
      <c r="Y20" s="189">
        <f t="shared" si="16"/>
        <v>0</v>
      </c>
      <c r="Z20" s="189">
        <f t="shared" si="16"/>
        <v>0</v>
      </c>
      <c r="AA20" s="189">
        <f t="shared" si="16"/>
        <v>0</v>
      </c>
      <c r="AB20" s="189">
        <f t="shared" si="16"/>
        <v>0</v>
      </c>
      <c r="AC20" s="189">
        <f t="shared" si="16"/>
        <v>30</v>
      </c>
      <c r="AD20" s="189">
        <f t="shared" si="16"/>
        <v>52</v>
      </c>
      <c r="AE20" s="189">
        <f t="shared" si="16"/>
        <v>77</v>
      </c>
      <c r="AF20" s="189">
        <f t="shared" si="16"/>
        <v>5</v>
      </c>
      <c r="AG20" s="189">
        <f t="shared" si="16"/>
        <v>0</v>
      </c>
      <c r="AH20" s="189">
        <f t="shared" si="16"/>
        <v>0</v>
      </c>
      <c r="AI20" s="189">
        <f t="shared" si="16"/>
        <v>0</v>
      </c>
      <c r="AJ20" s="189">
        <f t="shared" si="16"/>
        <v>0</v>
      </c>
      <c r="AK20" s="189">
        <f t="shared" si="16"/>
        <v>28</v>
      </c>
      <c r="AL20" s="189">
        <f t="shared" si="16"/>
        <v>111</v>
      </c>
      <c r="AM20" s="189">
        <f t="shared" si="16"/>
        <v>109</v>
      </c>
      <c r="AN20" s="189">
        <f t="shared" si="16"/>
        <v>30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3650</v>
      </c>
      <c r="AZ20" s="189">
        <f>SUBTOTAL(9,AZ15:AZ19)</f>
        <v>2892</v>
      </c>
      <c r="BA20" s="189">
        <f>SUBTOTAL(9,BA15:BA19)</f>
        <v>2829</v>
      </c>
      <c r="BB20" s="189">
        <f>SUBTOTAL(9,BB15:BB19)</f>
        <v>3743</v>
      </c>
      <c r="BC20" s="189">
        <f>SUBTOTAL(9,BC15:BC19)</f>
        <v>537</v>
      </c>
      <c r="BD20" s="210">
        <f>IF(ISNUMBER(BA20/AZ20),BA20/AZ20," - ")</f>
        <v>0.97821576763485474</v>
      </c>
      <c r="BE20" s="211">
        <f>IF(ISNUMBER(BB20/BA20),BB20/BA20, " - ")</f>
        <v>1.3230823612583953</v>
      </c>
      <c r="BF20" s="211">
        <f>IF(ISNUMBER(BC20/BA20),BC20/BA20, " - ")</f>
        <v>0.18981972428419935</v>
      </c>
      <c r="BG20" s="212">
        <f>IF(ISNUMBER((AY20+AZ20)/BA20),(AY20+AZ20)/BA20," - ")</f>
        <v>2.3124779073877697</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17899</v>
      </c>
      <c r="J21" s="136">
        <f t="shared" si="19"/>
        <v>6341</v>
      </c>
      <c r="K21" s="136">
        <f t="shared" si="19"/>
        <v>5137</v>
      </c>
      <c r="L21" s="136">
        <f t="shared" si="19"/>
        <v>18403</v>
      </c>
      <c r="M21" s="136">
        <f t="shared" si="19"/>
        <v>890</v>
      </c>
      <c r="N21" s="136">
        <f t="shared" si="19"/>
        <v>3122</v>
      </c>
      <c r="O21" s="136">
        <f t="shared" si="19"/>
        <v>892</v>
      </c>
      <c r="P21" s="136">
        <f t="shared" si="19"/>
        <v>556</v>
      </c>
      <c r="Q21" s="136">
        <f t="shared" si="19"/>
        <v>242</v>
      </c>
      <c r="R21" s="136">
        <f t="shared" si="19"/>
        <v>12527</v>
      </c>
      <c r="S21" s="136">
        <f t="shared" si="19"/>
        <v>15666</v>
      </c>
      <c r="T21" s="136">
        <f t="shared" si="19"/>
        <v>5558</v>
      </c>
      <c r="U21" s="136">
        <f t="shared" si="19"/>
        <v>4978</v>
      </c>
      <c r="V21" s="136">
        <f t="shared" si="19"/>
        <v>16275</v>
      </c>
      <c r="W21" s="136">
        <f t="shared" si="19"/>
        <v>1084</v>
      </c>
      <c r="X21" s="136">
        <f t="shared" si="19"/>
        <v>2613</v>
      </c>
      <c r="Y21" s="136">
        <f t="shared" si="19"/>
        <v>337</v>
      </c>
      <c r="Z21" s="136">
        <f t="shared" si="19"/>
        <v>145</v>
      </c>
      <c r="AA21" s="136">
        <f t="shared" si="19"/>
        <v>102</v>
      </c>
      <c r="AB21" s="136">
        <f t="shared" si="19"/>
        <v>350</v>
      </c>
      <c r="AC21" s="136">
        <f t="shared" si="19"/>
        <v>30</v>
      </c>
      <c r="AD21" s="136">
        <f t="shared" si="19"/>
        <v>52</v>
      </c>
      <c r="AE21" s="136">
        <f t="shared" si="19"/>
        <v>77</v>
      </c>
      <c r="AF21" s="136">
        <f t="shared" si="19"/>
        <v>5</v>
      </c>
      <c r="AG21" s="136">
        <f t="shared" si="19"/>
        <v>350</v>
      </c>
      <c r="AH21" s="136">
        <f t="shared" si="19"/>
        <v>99</v>
      </c>
      <c r="AI21" s="136">
        <f t="shared" si="19"/>
        <v>91</v>
      </c>
      <c r="AJ21" s="136">
        <f t="shared" si="19"/>
        <v>358</v>
      </c>
      <c r="AK21" s="136">
        <f t="shared" si="19"/>
        <v>28</v>
      </c>
      <c r="AL21" s="136">
        <f t="shared" si="19"/>
        <v>111</v>
      </c>
      <c r="AM21" s="136">
        <f t="shared" si="19"/>
        <v>109</v>
      </c>
      <c r="AN21" s="215">
        <f t="shared" si="19"/>
        <v>30</v>
      </c>
      <c r="AO21" s="216">
        <v>11</v>
      </c>
      <c r="AP21" s="216">
        <v>11</v>
      </c>
      <c r="AQ21" s="216">
        <v>11</v>
      </c>
      <c r="AR21" s="216">
        <v>11</v>
      </c>
      <c r="AS21" s="158">
        <f t="shared" si="19"/>
        <v>0</v>
      </c>
      <c r="AT21" s="158">
        <f t="shared" si="19"/>
        <v>0</v>
      </c>
      <c r="AU21" s="216"/>
      <c r="AV21" s="217"/>
      <c r="AW21" s="216"/>
      <c r="AX21" s="217"/>
      <c r="AY21" s="135">
        <f>SUBTOTAL(9,AY9:AY20)</f>
        <v>16016</v>
      </c>
      <c r="AZ21" s="136">
        <f>SUBTOTAL(9,AZ9:AZ20)</f>
        <v>5657</v>
      </c>
      <c r="BA21" s="136">
        <f>SUBTOTAL(9,BA9:BA20)</f>
        <v>5069</v>
      </c>
      <c r="BB21" s="136">
        <f>SUBTOTAL(9,BB9:BB20)</f>
        <v>16633</v>
      </c>
      <c r="BC21" s="137">
        <f>SUBTOTAL(9,BC9:BC20)</f>
        <v>1350</v>
      </c>
      <c r="BD21" s="218">
        <f>IF(ISNUMBER(BA21/AZ21),BA21/AZ21," - ")</f>
        <v>0.89605798126215308</v>
      </c>
      <c r="BE21" s="215">
        <f>IF(ISNUMBER(BB21/BA21),BB21/BA21, " - ")</f>
        <v>3.2813178141645296</v>
      </c>
      <c r="BF21" s="215">
        <f>IF(ISNUMBER(BC21/BA21),BC21/BA21, " - ")</f>
        <v>0.26632471887946341</v>
      </c>
      <c r="BG21" s="137">
        <f>IF(ISNUMBER((AY21+AZ21)/BA21),(AY21+AZ21)/BA21," - ")</f>
        <v>4.2755967646478599</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w5n32cuUeFf+kN2Lhsm4yVZsUH57yP3KoCrl4xBm8bqYXhsn+T+PxfXzWPbgxj5PX8Ihh8wTteJQnOYHko9Lw==" saltValue="/RoT04Z7QyyGZIjGkgXS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Bj0a5c+OzQSnyKq/xTdm1PAl9xiL0QwXASK8u7GVA34Hl5hMOlTqFiovmVnvtk858FW37Z9V5DkvdQChcphMw==" saltValue="KMkcoRfTQjNU8pQmY2Dmx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ARONA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145</v>
      </c>
      <c r="O9" s="504"/>
      <c r="P9" s="504"/>
      <c r="Q9" s="502">
        <f>IF(ISNUMBER(Datos!P9),Datos!P9,0)</f>
        <v>462</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123</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349</v>
      </c>
      <c r="AI9" s="504" t="str">
        <f>IF(ISNUMBER(Datos!CD9),Datos!CD9,"-")</f>
        <v>-</v>
      </c>
      <c r="AJ9" s="504" t="str">
        <f>IF(ISNUMBER(Datos!EN9),Datos!EN9," - ")</f>
        <v xml:space="preserve"> - </v>
      </c>
      <c r="AK9" s="504"/>
      <c r="AL9" s="505"/>
      <c r="AM9" s="672">
        <f>IF(ISNUMBER(Datos!R9),Datos!R9," - ")</f>
        <v>11445</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421</v>
      </c>
      <c r="BD9" s="620">
        <f>IF(ISNUMBER(Datos!N9),Datos!N9," - ")</f>
        <v>841</v>
      </c>
      <c r="BE9" s="620" t="str">
        <f>IF(ISNUMBER(Datos!BW9),Datos!BW9," - ")</f>
        <v xml:space="preserve"> - </v>
      </c>
      <c r="BF9" s="668" t="str">
        <f>IF(ISNUMBER(Datos!BX9),Datos!BX9," - ")</f>
        <v xml:space="preserve"> - </v>
      </c>
      <c r="BG9" s="669">
        <f>IF(ISNUMBER(IF(J_V="SI",Datos!K9/Datos!J9,(Datos!K9+Datos!AA9)/(Datos!J9+Datos!Z9))),IF(J_V="SI",Datos!K9/Datos!J9,(Datos!K9+Datos!AA9)/(Datos!J9+Datos!Z9))," - ")</f>
        <v>0.6674449633088726</v>
      </c>
      <c r="BH9" s="670">
        <f>IF(ISNUMBER(((IF(J_V="SI",Datos!L9/Datos!K9,(Datos!L9+Datos!AB9)/(Datos!K9+Datos!AA9)))*11)/factor_trimestre),((IF(J_V="SI",Datos!L9/Datos!K9,(Datos!L9+Datos!AB9)/(Datos!K9+Datos!AA9)))*11)/factor_trimestre," - ")</f>
        <v>20.42728635682159</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3.0524041058887088E-2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28</v>
      </c>
      <c r="G10" s="498">
        <f>IF(ISNUMBER(Datos!I10),Datos!I10," - ")</f>
        <v>28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70</v>
      </c>
      <c r="AG10" s="504"/>
      <c r="AH10" s="504"/>
      <c r="AI10" s="504"/>
      <c r="AJ10" s="504"/>
      <c r="AK10" s="504"/>
      <c r="AL10" s="505"/>
      <c r="AM10" s="672">
        <f>IF(ISNUMBER(Datos!R10),Datos!R10," - ")</f>
        <v>61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4</v>
      </c>
      <c r="BE10" s="620" t="str">
        <f>IF(ISNUMBER(Datos!BW10),Datos!BW10," - ")</f>
        <v xml:space="preserve"> - </v>
      </c>
      <c r="BF10" s="668" t="str">
        <f>IF(ISNUMBER(Datos!BX10),Datos!BX10," - ")</f>
        <v xml:space="preserve"> - </v>
      </c>
      <c r="BG10" s="669">
        <f>IF(ISNUMBER(Datos!K10/Datos!J10),Datos!K10/Datos!J10," - ")</f>
        <v>0.125</v>
      </c>
      <c r="BH10" s="670">
        <f>IF(ISNUMBER(((Datos!L10/Datos!K10)*11)/factor_trimestre),((Datos!L10/Datos!K10)*11)/factor_trimestre," - ")</f>
        <v>34.999999999999993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0.12962962962962962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v>
      </c>
      <c r="AI12" s="504" t="str">
        <f>IF(ISNUMBER(Datos!CD12),Datos!CD12,"-")</f>
        <v>-</v>
      </c>
      <c r="AJ12" s="504" t="str">
        <f>IF(ISNUMBER(Datos!EN12),Datos!EN12," - ")</f>
        <v xml:space="preserve"> - </v>
      </c>
      <c r="AK12" s="504"/>
      <c r="AL12" s="505"/>
      <c r="AM12" s="672">
        <f>IF(ISNUMBER(Datos!R12),Datos!R12," - ")</f>
        <v>656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-5.8823529411764705E-2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28</v>
      </c>
      <c r="G14" s="1045">
        <f t="shared" si="1"/>
        <v>28</v>
      </c>
      <c r="H14" s="1046">
        <f t="shared" si="1"/>
        <v>0</v>
      </c>
      <c r="I14" s="1045">
        <f t="shared" si="1"/>
        <v>0</v>
      </c>
      <c r="J14" s="1014">
        <f t="shared" si="1"/>
        <v>0</v>
      </c>
      <c r="K14" s="1014">
        <f t="shared" si="1"/>
        <v>0</v>
      </c>
      <c r="L14" s="1046">
        <f t="shared" si="1"/>
        <v>0</v>
      </c>
      <c r="M14" s="1046">
        <f t="shared" si="1"/>
        <v>0</v>
      </c>
      <c r="N14" s="1046">
        <f t="shared" si="1"/>
        <v>145</v>
      </c>
      <c r="O14" s="1047">
        <f t="shared" si="1"/>
        <v>0</v>
      </c>
      <c r="P14" s="1047">
        <f t="shared" si="1"/>
        <v>0</v>
      </c>
      <c r="Q14" s="1046">
        <f t="shared" si="1"/>
        <v>469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164</v>
      </c>
      <c r="AD14" s="1046">
        <f t="shared" si="2"/>
        <v>0</v>
      </c>
      <c r="AE14" s="1046">
        <f t="shared" si="2"/>
        <v>0</v>
      </c>
      <c r="AF14" s="1046">
        <f t="shared" si="2"/>
        <v>70</v>
      </c>
      <c r="AG14" s="1046">
        <f t="shared" si="2"/>
        <v>0</v>
      </c>
      <c r="AH14" s="1046">
        <f t="shared" si="2"/>
        <v>350</v>
      </c>
      <c r="AI14" s="1046">
        <f t="shared" si="2"/>
        <v>0</v>
      </c>
      <c r="AJ14" s="1046">
        <f t="shared" si="2"/>
        <v>0</v>
      </c>
      <c r="AK14" s="1046">
        <f t="shared" si="2"/>
        <v>0</v>
      </c>
      <c r="AL14" s="1046">
        <f t="shared" si="2"/>
        <v>0</v>
      </c>
      <c r="AM14" s="1046">
        <f t="shared" si="2"/>
        <v>12162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423</v>
      </c>
      <c r="BD14" s="1046">
        <f t="shared" si="2"/>
        <v>845</v>
      </c>
      <c r="BE14" s="1046">
        <f t="shared" si="2"/>
        <v>0</v>
      </c>
      <c r="BF14" s="1046">
        <f t="shared" si="2"/>
        <v>0</v>
      </c>
      <c r="BG14" s="1046">
        <f>IF(ISNUMBER(Datos!K14/Datos!J14),Datos!K14/Datos!J14," - ")</f>
        <v>0.65667011375387796</v>
      </c>
      <c r="BH14" s="1050">
        <f>IF(ISNUMBER(((Datos!L14/Datos!K14)*11)/factor_trimestre),((Datos!L14/Datos!K14)*11)/factor_trimestre," - ")</f>
        <v>21.017322834645672</v>
      </c>
      <c r="BI14" s="1046">
        <f>IF(ISNUMBER('Resol  Asuntos'!D14/NºAsuntos!G14),'Resol  Asuntos'!D14/NºAsuntos!G14," - ")</f>
        <v>0.21076233183856502</v>
      </c>
      <c r="BJ14" s="1046" t="str">
        <f>IF(ISNUMBER(Datos!CI14/Datos!CJ14),Datos!CI14/Datos!CJ14," - ")</f>
        <v xml:space="preserve"> - </v>
      </c>
      <c r="BK14" s="1046">
        <f>SUBTOTAL(9,BK8:BK13)</f>
        <v>0</v>
      </c>
      <c r="BL14" s="1046">
        <f>IF(ISNUMBER((I14-AB14+L14)/(F14)),(I14-AB14+L14)/(F14)," - ")</f>
        <v>-0.21428571428571427</v>
      </c>
      <c r="BM14" s="1051">
        <f>SUBTOTAL(9,BM9:BM13)</f>
        <v>0.10133014127675201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4777</v>
      </c>
      <c r="G16" s="651">
        <f>IF(ISNUMBER(IF(D_I="SI",Datos!I16,Datos!I16+Datos!AC16)),IF(D_I="SI",Datos!I16,Datos!I16+Datos!AC16)," - ")</f>
        <v>4776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74</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2903</v>
      </c>
      <c r="AC16" s="231">
        <f>IF(ISNUMBER(Datos!Q16),Datos!Q16," - ")</f>
        <v>54</v>
      </c>
      <c r="AD16" s="344"/>
      <c r="AE16" s="516"/>
      <c r="AF16" s="649">
        <f>IF(ISNUMBER(IF(D_I="SI",Datos!L16,Datos!L16+Datos!AF16)),IF(D_I="SI",Datos!L16,Datos!L16+Datos!AF16)," - ")</f>
        <v>4955</v>
      </c>
      <c r="AG16" s="344"/>
      <c r="AH16" s="344"/>
      <c r="AI16" s="344"/>
      <c r="AJ16" s="504"/>
      <c r="AK16" s="344"/>
      <c r="AL16" s="500"/>
      <c r="AM16" s="345">
        <f>IF(ISNUMBER(Datos!R16),Datos!R16," - ")</f>
        <v>355</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349</v>
      </c>
      <c r="BD16" s="234">
        <f>IF(ISNUMBER(Datos!N16),Datos!N16," - ")</f>
        <v>2107</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0.94222654982148657</v>
      </c>
      <c r="BH16" s="670">
        <f>IF(ISNUMBER(((IF(D_I="SI",Datos!L16/Datos!K16,(Datos!L16+Datos!AF16)/(Datos!K16+Datos!AE16)))*11)/factor_trimestre),((IF(D_I="SI",Datos!L16/Datos!K16,(Datos!L16+Datos!AF16)/(Datos!K16+Datos!AE16)))*11)/factor_trimestre," - ")</f>
        <v>5.1205649328281089</v>
      </c>
      <c r="BI16" s="248">
        <f>IF(ISNUMBER('Resol  Asuntos'!D16/NºAsuntos!G16),'Resol  Asuntos'!D16/NºAsuntos!G16," - ")</f>
        <v>0.12022046159145712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8</v>
      </c>
      <c r="G17" s="651">
        <f>IF(ISNUMBER(IF(D_I="SI",Datos!I17,Datos!I17+Datos!AC17)),IF(D_I="SI",Datos!I17,Datos!I17+Datos!AC17)," - ")</f>
        <v>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8</v>
      </c>
      <c r="AG17" s="344"/>
      <c r="AH17" s="344"/>
      <c r="AI17" s="344"/>
      <c r="AJ17" s="504"/>
      <c r="AK17" s="344"/>
      <c r="AL17" s="500"/>
      <c r="AM17" s="345">
        <f>IF(ISNUMBER(Datos!R17),Datos!R17," - ")</f>
        <v>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64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329</v>
      </c>
      <c r="AC18" s="502">
        <f>IF(ISNUMBER(Datos!Q18),Datos!Q18," - ")</f>
        <v>24</v>
      </c>
      <c r="AD18" s="504"/>
      <c r="AE18" s="516"/>
      <c r="AF18" s="506">
        <f>IF(ISNUMBER(Datos!L18),Datos!L18,"-")</f>
        <v>94</v>
      </c>
      <c r="AG18" s="504"/>
      <c r="AH18" s="504"/>
      <c r="AI18" s="504"/>
      <c r="AJ18" s="504"/>
      <c r="AK18" s="504"/>
      <c r="AL18" s="505"/>
      <c r="AM18" s="672">
        <f>IF(ISNUMBER(Datos!R18),Datos!R18," - ")</f>
        <v>10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118</v>
      </c>
      <c r="BD18" s="620">
        <f>IF(ISNUMBER(Datos!N18),Datos!N18," - ")</f>
        <v>170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0.91643454038997219</v>
      </c>
      <c r="BH18" s="670">
        <f>IF(ISNUMBER(((IF(D_I="SI",Datos!L18/Datos!K18,(Datos!L18+Datos!AF18)/(Datos!K18+Datos!AE18)))*11)/factor_trimestre),((IF(D_I="SI",Datos!L18/Datos!K18,(Datos!L18+Datos!AF18)/(Datos!K18+Datos!AE18)))*11)/factor_trimestre," - ")</f>
        <v>0.85714285714285721</v>
      </c>
      <c r="BI18" s="669">
        <f>IF(ISNUMBER('Resol  Asuntos'!D18/NºAsuntos!G18),'Resol  Asuntos'!D18/NºAsuntos!G18," - ")</f>
        <v>0.35866261398176291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4785</v>
      </c>
      <c r="G20" s="1045">
        <f>SUBTOTAL(9,G16:G19)</f>
        <v>4848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3232</v>
      </c>
      <c r="AC20" s="1046">
        <f t="shared" si="5"/>
        <v>78</v>
      </c>
      <c r="AD20" s="1046">
        <f t="shared" si="5"/>
        <v>0</v>
      </c>
      <c r="AE20" s="1046">
        <f t="shared" si="5"/>
        <v>0</v>
      </c>
      <c r="AF20" s="1046">
        <f t="shared" si="5"/>
        <v>5057</v>
      </c>
      <c r="AG20" s="1046">
        <f t="shared" si="5"/>
        <v>0</v>
      </c>
      <c r="AH20" s="1046">
        <f t="shared" si="5"/>
        <v>0</v>
      </c>
      <c r="AI20" s="1046">
        <f t="shared" si="5"/>
        <v>0</v>
      </c>
      <c r="AJ20" s="1046">
        <f t="shared" si="5"/>
        <v>0</v>
      </c>
      <c r="AK20" s="1046">
        <f t="shared" si="5"/>
        <v>0</v>
      </c>
      <c r="AL20" s="1046">
        <f t="shared" si="5"/>
        <v>0</v>
      </c>
      <c r="AM20" s="1046">
        <f t="shared" si="5"/>
        <v>365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467</v>
      </c>
      <c r="BD20" s="1046">
        <f t="shared" si="5"/>
        <v>2277</v>
      </c>
      <c r="BE20" s="1046">
        <f t="shared" si="5"/>
        <v>0</v>
      </c>
      <c r="BF20" s="1046">
        <f t="shared" si="5"/>
        <v>0</v>
      </c>
      <c r="BG20" s="1046">
        <f>IF(ISNUMBER(Datos!K20/Datos!J20),Datos!K20/Datos!J20," - ")</f>
        <v>0.93953488372093019</v>
      </c>
      <c r="BH20" s="1050">
        <f>IF(ISNUMBER(((Datos!L20/Datos!K20)*11)/factor_trimestre),((Datos!L20/Datos!K20)*11)/factor_trimestre," - ")</f>
        <v>4.6939975247524748</v>
      </c>
      <c r="BI20" s="1046">
        <f>SUBTOTAL(9,BI16:BI19)</f>
        <v>0.47888307557322002</v>
      </c>
      <c r="BJ20" s="1046">
        <f>SUBTOTAL(9,BJ16:BJ19)</f>
        <v>0</v>
      </c>
      <c r="BK20" s="1046">
        <f>SUBTOTAL(9,BK16:BK19)</f>
        <v>0</v>
      </c>
      <c r="BL20" s="1046">
        <f>IF(ISNUMBER((I20-AB20+L20)/(F20)),(I20-AB20+L20)/(F20)," - ")</f>
        <v>-0.67544409613375134</v>
      </c>
      <c r="BM20" s="1052">
        <f>IF(ISNUMBER((Datos!P20-Datos!Q20)/(Datos!R20-Datos!P20+Datos!Q20)),(Datos!P20-Datos!Q20)/(Datos!R20-Datos!P20+Datos!Q20)," - ")</f>
        <v>2.5280898876404494E-2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4813</v>
      </c>
      <c r="G21" s="967">
        <f t="shared" si="7"/>
        <v>4876</v>
      </c>
      <c r="H21" s="969">
        <f t="shared" si="7"/>
        <v>0</v>
      </c>
      <c r="I21" s="967">
        <f t="shared" si="7"/>
        <v>0</v>
      </c>
      <c r="J21" s="969">
        <f t="shared" si="7"/>
        <v>0</v>
      </c>
      <c r="K21" s="969">
        <f t="shared" si="7"/>
        <v>0</v>
      </c>
      <c r="L21" s="1028">
        <f t="shared" si="7"/>
        <v>0</v>
      </c>
      <c r="M21" s="1028">
        <f t="shared" si="7"/>
        <v>0</v>
      </c>
      <c r="N21" s="1028">
        <f t="shared" si="7"/>
        <v>145</v>
      </c>
      <c r="O21" s="1028">
        <f t="shared" si="7"/>
        <v>0</v>
      </c>
      <c r="P21" s="1028">
        <f t="shared" si="7"/>
        <v>0</v>
      </c>
      <c r="Q21" s="969">
        <f t="shared" si="7"/>
        <v>556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3238</v>
      </c>
      <c r="AC21" s="968">
        <f t="shared" si="8"/>
        <v>242</v>
      </c>
      <c r="AD21" s="968">
        <f t="shared" si="8"/>
        <v>0</v>
      </c>
      <c r="AE21" s="968">
        <f t="shared" si="8"/>
        <v>0</v>
      </c>
      <c r="AF21" s="975">
        <f t="shared" si="8"/>
        <v>5127</v>
      </c>
      <c r="AG21" s="975">
        <f t="shared" si="8"/>
        <v>0</v>
      </c>
      <c r="AH21" s="975">
        <f t="shared" si="8"/>
        <v>350</v>
      </c>
      <c r="AI21" s="975">
        <f t="shared" si="8"/>
        <v>0</v>
      </c>
      <c r="AJ21" s="968">
        <f t="shared" si="8"/>
        <v>0</v>
      </c>
      <c r="AK21" s="975">
        <f t="shared" si="8"/>
        <v>0</v>
      </c>
      <c r="AL21" s="975">
        <f t="shared" si="8"/>
        <v>0</v>
      </c>
      <c r="AM21" s="975">
        <f t="shared" si="8"/>
        <v>12527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890</v>
      </c>
      <c r="BD21" s="967">
        <f t="shared" si="8"/>
        <v>3122</v>
      </c>
      <c r="BE21" s="967">
        <f t="shared" si="8"/>
        <v>0</v>
      </c>
      <c r="BF21" s="977">
        <f t="shared" si="8"/>
        <v>0</v>
      </c>
      <c r="BG21" s="1062">
        <f>IF(ISNUMBER(Datos!K21/Datos!J21),Datos!K21/Datos!J21," - ")</f>
        <v>0.81012458602744042</v>
      </c>
      <c r="BH21" s="1062">
        <f>IF(ISNUMBER(((Datos!L21/Datos!K21)*11)/factor_trimestre),((Datos!L21/Datos!K21)*11)/factor_trimestre," - ")</f>
        <v>10.747323340471093</v>
      </c>
      <c r="BI21" s="960">
        <f>IF(ISNUMBER(Datos!J21/Datos!I21),Datos!J21/Datos!I21," - ")</f>
        <v>0.35426560143024749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-0.67276127155620191</v>
      </c>
      <c r="BM21" s="1036">
        <f>IF(ISNUMBER((Datos!P21-Datos!Q21+R21)/(Datos!R21-Datos!P21+Datos!Q21-R21)),(Datos!P21-Datos!Q21+R21)/(Datos!R21-Datos!P21+Datos!Q21-R21)," - ")</f>
        <v>2.5710308687464177E-2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1625.3333333333333</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2.7502066038093145</v>
      </c>
      <c r="F23" s="600">
        <f>IF(ISNUMBER(STDEV(F8:F20)),STDEV(F8:F20),"-")</f>
        <v>2606.9911200462498</v>
      </c>
      <c r="G23" s="601">
        <f>IF(ISNUMBER(STDEV(G8:G20)),STDEV(G8:G20),"-")</f>
        <v>2468.5525043366338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1548.6628641078298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211.77413844538648</v>
      </c>
      <c r="BD23" s="600"/>
      <c r="BE23" s="600">
        <f>IF(ISNUMBER(STDEV(BE8:BE20)),STDEV(BE8:BE20),"-")</f>
        <v>0</v>
      </c>
      <c r="BF23" s="605">
        <f>IF(ISNUMBER(STDEV(BF8:BF20)),STDEV(BF8:BF20),"-")</f>
        <v>0</v>
      </c>
      <c r="BG23" s="915">
        <f>IF(ISNUMBER(STDEV(BG8:BG20)),STDEV(BG8:BG20),"-")</f>
        <v>0.31498692854247912</v>
      </c>
      <c r="BH23" s="919">
        <f>IF(ISNUMBER(STDEV(BH8:BH20)),STDEV(BH8:BH20),"-")</f>
        <v>13.176608086961991</v>
      </c>
      <c r="BI23" s="254">
        <f>IF(ISNUMBER(STDEV(BI8:BI20)),STDEV(BI8:BI20),"-")</f>
        <v>0.15861576924461254</v>
      </c>
      <c r="BJ23" s="235" t="str">
        <f>IF(ISNUMBER(BL23/BM23),BL23/BM23," - ")</f>
        <v xml:space="preserve"> - </v>
      </c>
      <c r="BK23" s="627"/>
      <c r="BL23" s="608">
        <f>IF(ISNUMBER(STDEV(BL8:BL20)),STDEV(BL8:BL20),"-")</f>
        <v>0.32608821900576235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svcViljO03XqP5pwHDYnwVmGb538r4VKA5ofR6w86JtbziJLp8AttwqhwsmOx3AjF+3DLJZkzveRumF7QBM/Q==" saltValue="8xkxGHfmK1gzWa2jxrxX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ARONA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462</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123</v>
      </c>
      <c r="AA9" s="506" t="str">
        <f>IF(ISNUMBER(IF(J_V="SI",Datos!L9,Datos!L9+Datos!AB9)-IF(Monitorios="SI",Datos!CD9,0)),
                          IF(J_V="SI",Datos!L9,Datos!L9+Datos!AB9)-IF(Monitorios="SI",Datos!CD9,0),
                          " - ")</f>
        <v xml:space="preserve"> - </v>
      </c>
      <c r="AB9" s="504"/>
      <c r="AC9" s="504"/>
      <c r="AD9" s="517"/>
      <c r="AE9" s="517">
        <f>IF(ISNUMBER(Datos!R9),Datos!R9," - ")</f>
        <v>11445</v>
      </c>
      <c r="AF9" s="620" t="str">
        <f>IF(ISNUMBER(Datos!BV9),Datos!BV9," - ")</f>
        <v xml:space="preserve"> - </v>
      </c>
      <c r="AG9" s="507" t="str">
        <f>IF(ISNUMBER(Datos!DV9),Datos!DV9," - ")</f>
        <v xml:space="preserve"> - </v>
      </c>
      <c r="AH9" s="508"/>
      <c r="AI9" s="509"/>
      <c r="AJ9" s="507">
        <f>IF(ISNUMBER(Datos!M9),Datos!M9," - ")</f>
        <v>421</v>
      </c>
      <c r="AK9" s="620">
        <f>IF(ISNUMBER(Datos!N9),Datos!N9," - ")</f>
        <v>841</v>
      </c>
      <c r="AL9" s="620" t="str">
        <f>IF(ISNUMBER(Datos!BW9),Datos!BW9," - ")</f>
        <v xml:space="preserve"> - </v>
      </c>
      <c r="AM9" s="668" t="str">
        <f>IF(ISNUMBER(Datos!BX9),Datos!BX9," - ")</f>
        <v xml:space="preserve"> - </v>
      </c>
      <c r="AN9" s="669"/>
      <c r="AO9" s="670">
        <f>IF(ISNUMBER(((NºAsuntos!I9/NºAsuntos!G9)*11)/factor_trimestre),((NºAsuntos!I9/NºAsuntos!G9)*11)/factor_trimestre," - ")</f>
        <v>20.42728635682159</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3.0524041058887088E-2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28</v>
      </c>
      <c r="G10" s="507">
        <f>IF(ISNUMBER(Datos!I10),Datos!I10," - ")</f>
        <v>28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70</v>
      </c>
      <c r="AB10" s="504"/>
      <c r="AC10" s="504"/>
      <c r="AD10" s="517"/>
      <c r="AE10" s="517">
        <f>IF(ISNUMBER(Datos!R10),Datos!R10," - ")</f>
        <v>61</v>
      </c>
      <c r="AF10" s="620" t="str">
        <f>IF(ISNUMBER(Datos!BV10),Datos!BV10," - ")</f>
        <v xml:space="preserve"> - </v>
      </c>
      <c r="AG10" s="507" t="str">
        <f>IF(ISNUMBER(Datos!DV10),Datos!DV10," - ")</f>
        <v xml:space="preserve"> - </v>
      </c>
      <c r="AH10" s="508"/>
      <c r="AI10" s="509"/>
      <c r="AJ10" s="507">
        <f>IF(ISNUMBER(Datos!M10),Datos!M10," - ")</f>
        <v>2</v>
      </c>
      <c r="AK10" s="620">
        <f>IF(ISNUMBER(Datos!N10),Datos!N10," - ")</f>
        <v>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34.999999999999993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0.12962962962962962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41</v>
      </c>
      <c r="AA12" s="506" t="str">
        <f>IF(ISNUMBER(IF(J_V="SI",Datos!L12,Datos!L12+Datos!AB12)-IF(Monitorios="SI",Datos!CD12,0)),
                          IF(J_V="SI",Datos!L12,Datos!L12+Datos!AB12)-IF(Monitorios="SI",Datos!CD12,0),
                          " - ")</f>
        <v xml:space="preserve"> - </v>
      </c>
      <c r="AB12" s="504"/>
      <c r="AC12" s="504"/>
      <c r="AD12" s="517"/>
      <c r="AE12" s="517">
        <f>IF(ISNUMBER(Datos!R12),Datos!R12," - ")</f>
        <v>656</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-5.8823529411764705E-2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28</v>
      </c>
      <c r="G14" s="1045">
        <f>SUBTOTAL(9,G8:G13)</f>
        <v>28</v>
      </c>
      <c r="H14" s="1055"/>
      <c r="I14" s="1045">
        <f t="shared" ref="I14:N14" si="1">SUBTOTAL(9,I8:I13)</f>
        <v>0</v>
      </c>
      <c r="J14" s="1014">
        <f t="shared" si="1"/>
        <v>0</v>
      </c>
      <c r="K14" s="1055">
        <f t="shared" si="1"/>
        <v>0</v>
      </c>
      <c r="L14" s="1055">
        <f t="shared" si="1"/>
        <v>0</v>
      </c>
      <c r="M14" s="1055">
        <f t="shared" si="1"/>
        <v>0</v>
      </c>
      <c r="N14" s="1055">
        <f t="shared" si="1"/>
        <v>469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164</v>
      </c>
      <c r="AA14" s="1047">
        <f t="shared" si="3"/>
        <v>70</v>
      </c>
      <c r="AB14" s="1047">
        <f t="shared" si="3"/>
        <v>0</v>
      </c>
      <c r="AC14" s="1047">
        <f t="shared" si="3"/>
        <v>0</v>
      </c>
      <c r="AD14" s="1047">
        <f t="shared" si="3"/>
        <v>0</v>
      </c>
      <c r="AE14" s="1047">
        <f t="shared" si="3"/>
        <v>12162</v>
      </c>
      <c r="AF14" s="1055">
        <f t="shared" si="3"/>
        <v>0</v>
      </c>
      <c r="AG14" s="1055">
        <f t="shared" si="3"/>
        <v>0</v>
      </c>
      <c r="AH14" s="1055">
        <f t="shared" si="3"/>
        <v>0</v>
      </c>
      <c r="AI14" s="1055">
        <f t="shared" si="3"/>
        <v>0</v>
      </c>
      <c r="AJ14" s="1055">
        <f t="shared" si="3"/>
        <v>423</v>
      </c>
      <c r="AK14" s="1055">
        <f t="shared" si="3"/>
        <v>845</v>
      </c>
      <c r="AL14" s="1055">
        <f t="shared" si="3"/>
        <v>0</v>
      </c>
      <c r="AM14" s="1055">
        <f t="shared" si="3"/>
        <v>0</v>
      </c>
      <c r="AN14" s="1055">
        <f t="shared" si="3"/>
        <v>0</v>
      </c>
      <c r="AO14" s="1051">
        <f>IF(ISNUMBER(((NºAsuntos!I14/NºAsuntos!G14)*11)/factor_trimestre),((NºAsuntos!I14/NºAsuntos!G14)*11)/factor_trimestre," - ")</f>
        <v>20.472346786248131</v>
      </c>
      <c r="AP14" s="1057" t="str">
        <f>IF(ISNUMBER(Datos!CI14/Datos!CJ14),Datos!CI14/Datos!CJ14," - ")</f>
        <v xml:space="preserve"> - </v>
      </c>
      <c r="AQ14" s="1075">
        <f t="shared" ref="AQ14:AV14" si="4">SUBTOTAL(9,AQ9:AQ13)</f>
        <v>0</v>
      </c>
      <c r="AR14" s="1075">
        <f t="shared" si="4"/>
        <v>0.10133014127675201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4777</v>
      </c>
      <c r="G16" s="507">
        <f>IF(ISNUMBER(IF(D_I="SI",Datos!I16,Datos!I16+Datos!AC16)),IF(D_I="SI",Datos!I16,Datos!I16+Datos!AC16)," - ")</f>
        <v>4776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74</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2903</v>
      </c>
      <c r="Z16" s="704">
        <f>IF(ISNUMBER(Datos!Q16),Datos!Q16," - ")</f>
        <v>54</v>
      </c>
      <c r="AA16" s="506">
        <f>IF(ISNUMBER(IF(D_I="SI",Datos!L16,Datos!L16+Datos!AF16)),IF(D_I="SI",Datos!L16,Datos!L16+Datos!AF16)," - ")</f>
        <v>4955</v>
      </c>
      <c r="AB16" s="504"/>
      <c r="AC16" s="504"/>
      <c r="AD16" s="517"/>
      <c r="AE16" s="517">
        <f>IF(ISNUMBER(Datos!R16),Datos!R16," - ")</f>
        <v>355</v>
      </c>
      <c r="AF16" s="620" t="str">
        <f>IF(ISNUMBER(Datos!BV16),Datos!BV16," - ")</f>
        <v xml:space="preserve"> - </v>
      </c>
      <c r="AG16" s="507"/>
      <c r="AH16" s="508"/>
      <c r="AI16" s="509"/>
      <c r="AJ16" s="507">
        <f>IF(ISNUMBER(Datos!M16),Datos!M16," - ")</f>
        <v>349</v>
      </c>
      <c r="AK16" s="620">
        <f>IF(ISNUMBER(Datos!N16),Datos!N16," - ")</f>
        <v>2107</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5.1205649328281089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8</v>
      </c>
      <c r="G17" s="507">
        <f>IF(ISNUMBER(IF(D_I="SI",Datos!I17,Datos!I17+Datos!AC17)),IF(D_I="SI",Datos!I17,Datos!I17+Datos!AC17)," - ")</f>
        <v>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8</v>
      </c>
      <c r="AB17" s="504"/>
      <c r="AC17" s="504"/>
      <c r="AD17" s="517"/>
      <c r="AE17" s="517">
        <f>IF(ISNUMBER(Datos!R17),Datos!R17," - ")</f>
        <v>0</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64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329</v>
      </c>
      <c r="Z18" s="704">
        <f>IF(ISNUMBER(Datos!Q18),Datos!Q18," - ")</f>
        <v>24</v>
      </c>
      <c r="AA18" s="506">
        <f>IF(ISNUMBER(Datos!L18),Datos!L18,"-")</f>
        <v>94</v>
      </c>
      <c r="AB18" s="504"/>
      <c r="AC18" s="504"/>
      <c r="AD18" s="517"/>
      <c r="AE18" s="517">
        <f>IF(ISNUMBER(Datos!R18),Datos!R18," - ")</f>
        <v>10</v>
      </c>
      <c r="AF18" s="620" t="str">
        <f>IF(ISNUMBER(Datos!BV18),Datos!BV18," - ")</f>
        <v xml:space="preserve"> - </v>
      </c>
      <c r="AG18" s="507" t="str">
        <f>IF(ISNUMBER(Datos!DV18),Datos!DV18," - ")</f>
        <v xml:space="preserve"> - </v>
      </c>
      <c r="AH18" s="508"/>
      <c r="AI18" s="509"/>
      <c r="AJ18" s="507">
        <f>IF(ISNUMBER(Datos!M18),Datos!M18," - ")</f>
        <v>118</v>
      </c>
      <c r="AK18" s="620">
        <f>IF(ISNUMBER(Datos!N18),Datos!N18," - ")</f>
        <v>170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0.85714285714285721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4785</v>
      </c>
      <c r="G20" s="1045">
        <f>SUBTOTAL(9,G16:G19)</f>
        <v>4848</v>
      </c>
      <c r="H20" s="1079">
        <f>SUBTOTAL(9,H16:H19)</f>
        <v>0</v>
      </c>
      <c r="I20" s="1058">
        <f>SUBTOTAL(9,I16:I19)</f>
        <v>0</v>
      </c>
      <c r="J20" s="1014">
        <f>SUBTOTAL(9,J15:J19)</f>
        <v>0</v>
      </c>
      <c r="K20" s="1079">
        <f t="shared" ref="K20:S20" si="5">SUBTOTAL(9,K16:K19)</f>
        <v>0</v>
      </c>
      <c r="L20" s="1079">
        <f t="shared" si="5"/>
        <v>0</v>
      </c>
      <c r="M20" s="1079">
        <f t="shared" si="5"/>
        <v>0</v>
      </c>
      <c r="N20" s="1079">
        <f t="shared" si="5"/>
        <v>87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3232</v>
      </c>
      <c r="Z20" s="1079">
        <f t="shared" si="6"/>
        <v>78</v>
      </c>
      <c r="AA20" s="1079">
        <f t="shared" si="6"/>
        <v>5057</v>
      </c>
      <c r="AB20" s="1079">
        <f t="shared" si="6"/>
        <v>0</v>
      </c>
      <c r="AC20" s="1079">
        <f t="shared" si="6"/>
        <v>0</v>
      </c>
      <c r="AD20" s="1079">
        <f t="shared" si="6"/>
        <v>0</v>
      </c>
      <c r="AE20" s="1079">
        <f t="shared" si="6"/>
        <v>365</v>
      </c>
      <c r="AF20" s="1079">
        <f t="shared" si="6"/>
        <v>0</v>
      </c>
      <c r="AG20" s="1079">
        <f t="shared" si="6"/>
        <v>0</v>
      </c>
      <c r="AH20" s="1079">
        <f t="shared" si="6"/>
        <v>0</v>
      </c>
      <c r="AI20" s="1079">
        <f t="shared" si="6"/>
        <v>0</v>
      </c>
      <c r="AJ20" s="1079">
        <f t="shared" si="6"/>
        <v>467</v>
      </c>
      <c r="AK20" s="1079">
        <f t="shared" si="6"/>
        <v>2277</v>
      </c>
      <c r="AL20" s="1079">
        <f t="shared" si="6"/>
        <v>0</v>
      </c>
      <c r="AM20" s="1079">
        <f t="shared" si="6"/>
        <v>0</v>
      </c>
      <c r="AN20" s="1079">
        <f t="shared" si="6"/>
        <v>0</v>
      </c>
      <c r="AO20" s="1081">
        <f>IF(ISNUMBER(((NºAsuntos!I20/NºAsuntos!G20)*11)/factor_trimestre),((NºAsuntos!I20/NºAsuntos!G20)*11)/factor_trimestre," - ")</f>
        <v>4.6939975247524748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4813</v>
      </c>
      <c r="G21" s="967">
        <f t="shared" si="8"/>
        <v>4876</v>
      </c>
      <c r="H21" s="968">
        <f t="shared" si="8"/>
        <v>0</v>
      </c>
      <c r="I21" s="967">
        <f t="shared" si="8"/>
        <v>0</v>
      </c>
      <c r="J21" s="969">
        <f t="shared" si="8"/>
        <v>0</v>
      </c>
      <c r="K21" s="967">
        <f t="shared" si="8"/>
        <v>0</v>
      </c>
      <c r="L21" s="970">
        <f t="shared" si="8"/>
        <v>0</v>
      </c>
      <c r="M21" s="967">
        <f t="shared" si="8"/>
        <v>0</v>
      </c>
      <c r="N21" s="968">
        <f t="shared" si="8"/>
        <v>556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3238</v>
      </c>
      <c r="Z21" s="974">
        <f t="shared" si="9"/>
        <v>242</v>
      </c>
      <c r="AA21" s="975">
        <f t="shared" si="9"/>
        <v>5127</v>
      </c>
      <c r="AB21" s="975">
        <f t="shared" si="9"/>
        <v>0</v>
      </c>
      <c r="AC21" s="975">
        <f t="shared" si="9"/>
        <v>0</v>
      </c>
      <c r="AD21" s="976">
        <f t="shared" si="9"/>
        <v>0</v>
      </c>
      <c r="AE21" s="976">
        <f t="shared" si="9"/>
        <v>12527</v>
      </c>
      <c r="AF21" s="977">
        <f t="shared" si="9"/>
        <v>0</v>
      </c>
      <c r="AG21" s="978">
        <f t="shared" si="9"/>
        <v>0</v>
      </c>
      <c r="AH21" s="979">
        <f t="shared" si="9"/>
        <v>0</v>
      </c>
      <c r="AI21" s="977">
        <f t="shared" si="9"/>
        <v>0</v>
      </c>
      <c r="AJ21" s="967">
        <f t="shared" si="9"/>
        <v>890</v>
      </c>
      <c r="AK21" s="967">
        <f t="shared" si="9"/>
        <v>3122</v>
      </c>
      <c r="AL21" s="967">
        <f t="shared" si="9"/>
        <v>0</v>
      </c>
      <c r="AM21" s="980">
        <f t="shared" si="9"/>
        <v>0</v>
      </c>
      <c r="AN21" s="970">
        <f>IF(ISNUMBER(Datos!K21/Datos!J21),Datos!K21/Datos!J21," - ")</f>
        <v>0.81012458602744042</v>
      </c>
      <c r="AO21" s="970">
        <f>IF(ISNUMBER(FIND("06",Criterios!A8,1)),(IF(ISNUMBER(((Datos!R21/Datos!Q21)*11)/factor_trimestre),((Datos!R21/Datos!Q21)*11)/factor_trimestre," - ")),(IF(ISNUMBER(((Datos!L21/Datos!K21)*11)/factor_trimestre),((Datos!L21/Datos!K21)*11)/factor_trimestre," - ")))</f>
        <v>10.747323340471093</v>
      </c>
      <c r="AP21" s="981" t="str">
        <f>IF(ISNUMBER(Datos!CI21/Datos!CJ21),Datos!CI21/Datos!CJ21," - ")</f>
        <v xml:space="preserve"> - </v>
      </c>
      <c r="AQ21" s="981">
        <f>IF(OR(ISNUMBER(FIND("01",Criterios!A8,1)),ISNUMBER(FIND("02",Criterios!A8,1)),ISNUMBER(FIND("03",Criterios!A8,1)),ISNUMBER(FIND("04",Criterios!A8,1))),(J21-Y21+K21)/(F21-K21),(I21-Y21+K21)/(F21-K21))</f>
        <v>-0.67276127155620191</v>
      </c>
      <c r="AR21" s="981">
        <f>IF(ISNUMBER((Datos!P21-Datos!Q21+O21)/(Datos!R21-Datos!P21+Datos!Q21-O21)),(Datos!P21-Datos!Q21+O21)/(Datos!R21-Datos!P21+Datos!Q21-O21)," - ")</f>
        <v>2.5710308687464177E-2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1625.3333333333333</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2606.9911200462498</v>
      </c>
      <c r="G23" s="601">
        <f>IF(ISNUMBER(STDEV(G8:G20)),STDEV(G8:G20),"-")</f>
        <v>2468.5525043366338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211.77413844538648</v>
      </c>
      <c r="AK23" s="257"/>
      <c r="AL23" s="257">
        <f>IF(ISNUMBER(STDEV(AL8:AL20)),STDEV(AL8:AL20),"-")</f>
        <v>0</v>
      </c>
      <c r="AM23" s="259">
        <f>IF(ISNUMBER(STDEV(AM8:AM20)),STDEV(AM8:AM20),"-")</f>
        <v>0</v>
      </c>
      <c r="AN23" s="587">
        <f>IF(ISNUMBER(STDEV(AN8:AN20)),STDEV(AN8:AN20),"-")</f>
        <v>0</v>
      </c>
      <c r="AO23" s="588">
        <f>IF(ISNUMBER(STDEV(AO8:AO20)),STDEV(AO8:AO20),"-")</f>
        <v>13.124633803010322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6whNxG8El5Czo7MLIUswAsSaYUz5UyNUMIMAN+N1Ckx2pwYwZSPjmDXT+h0DKrdJ8SlIviZYjE/4w9bLXdI3Q==" saltValue="FnRRowihMk7j0cGuMs5o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cjWnLh9tcciLiV4+EPpBx/Ec988iS5tzBZ7Uz+YckgEQyWdafyV8b5cctUkkWeApPxFNRLdVudmg3ZPXGIt6g==" saltValue="DHWxNHXOTtUxJ/nc56jY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tPXMI+gtqjQChCrc15LWKsRMkxkuckERVgm7EJ8Nry/qrs1HJOwKNFNKdHpQJ6I+qvxyrQApeoIF9aJGmUh0Q==" saltValue="U4dHfZsodrBI48TuxNlW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ARONA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0.21076233183856502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0.14903147406173872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gb8F1YcSdbjElv25OZiPPYldEK0MD7MCVrmySy0zfCpF+7MpUjgSbMOyXFKzaq5LSJQItCoOU2EOfxrPqo4Yw==" saltValue="6Y0tNZIV+LyMZC+9L6Ds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FV+Pmn5aXzDp35coBowCbAyNAPcHvxFPJj9LxyPyKzEzfi/oRe/0lW9RGzJt4vp3DeS6sMHVmhS6mlciyKlr7Q==" saltValue="5sIldBtGHdxLWBHi7t6E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ARONA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13359</v>
      </c>
      <c r="D9" s="416">
        <f>IF(ISNUMBER(C9/Datos!BH9),C9/Datos!BH9," - ")</f>
        <v>2226.5</v>
      </c>
      <c r="E9" s="415">
        <f>IF(ISNUMBER(IF(J_V="SI",Datos!J9,Datos!J9+Datos!Z9)),IF(J_V="SI",Datos!J9,Datos!J9+Datos!Z9)," - ")</f>
        <v>2998</v>
      </c>
      <c r="F9" s="416">
        <f>IF(ISNUMBER(E9/B9),E9/B9," - ")</f>
        <v>499.66666666666669</v>
      </c>
      <c r="G9" s="415">
        <f>IF(ISNUMBER(IF(J_V="SI",Datos!K9,Datos!K9+Datos!AA9)),IF(J_V="SI",Datos!K9,Datos!K9+Datos!AA9)," - ")</f>
        <v>2001</v>
      </c>
      <c r="H9" s="416">
        <f>IF(ISNUMBER(G9/B9),G9/B9," - ")</f>
        <v>333.5</v>
      </c>
      <c r="I9" s="415">
        <f>IF(ISNUMBER(IF(J_V="SI",Datos!L9,Datos!L9+Datos!AB9)),IF(J_V="SI",Datos!L9,Datos!L9+Datos!AB9)," - ")</f>
        <v>13625</v>
      </c>
      <c r="J9" s="416">
        <f>IF(ISNUMBER(I9/B9),I9/B9," - ")</f>
        <v>2270.8333333333335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28</v>
      </c>
      <c r="D10" s="416">
        <f>IF(ISNUMBER(C10/Datos!BH10),C10/Datos!BH10," - ")</f>
        <v>28</v>
      </c>
      <c r="E10" s="415">
        <f>IF(ISNUMBER(Datos!J10),Datos!J10," - ")</f>
        <v>48</v>
      </c>
      <c r="F10" s="416">
        <f>IF(ISNUMBER(E10/B10),E10/B10," - ")</f>
        <v>48</v>
      </c>
      <c r="G10" s="415">
        <f>IF(ISNUMBER(Datos!K10),Datos!K10," - ")</f>
        <v>6</v>
      </c>
      <c r="H10" s="416">
        <f>IF(ISNUMBER(G10/B10),G10/B10," - ")</f>
        <v>6</v>
      </c>
      <c r="I10" s="415">
        <f>IF(ISNUMBER(Datos!L10),Datos!L10," - ")</f>
        <v>70</v>
      </c>
      <c r="J10" s="416">
        <f>IF(ISNUMBER(I10/B10),I10/B10," - ")</f>
        <v>70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1</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1</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13388</v>
      </c>
      <c r="D14" s="997" t="str">
        <f>IF(ISNUMBER(C14/Datos!BI14),C14/Datos!BI14," - ")</f>
        <v xml:space="preserve"> - </v>
      </c>
      <c r="E14" s="996">
        <f>SUBTOTAL(9,E8:E13)</f>
        <v>3046</v>
      </c>
      <c r="F14" s="997">
        <f>IF(ISNUMBER(E14/B14),E14/B14," - ")</f>
        <v>435.14285714285717</v>
      </c>
      <c r="G14" s="996">
        <f>SUBTOTAL(9,G8:G13)</f>
        <v>2007</v>
      </c>
      <c r="H14" s="997">
        <f>IF(ISNUMBER(G14/B14),G14/B14," - ")</f>
        <v>286.71428571428572</v>
      </c>
      <c r="I14" s="996">
        <f>SUBTOTAL(9,I8:I13)</f>
        <v>13696</v>
      </c>
      <c r="J14" s="997">
        <f>IF(ISNUMBER(I14/B14),I14/B14," - ")</f>
        <v>1956.5714285714287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4776</v>
      </c>
      <c r="D16" s="416">
        <f>IF(ISNUMBER(C16/Datos!BH16),C16/Datos!BH16," - ")</f>
        <v>1194</v>
      </c>
      <c r="E16" s="415">
        <f>IF(ISNUMBER(IF(D_I="SI",Datos!J16,Datos!J16+Datos!AD16)),IF(D_I="SI",Datos!J16,Datos!J16+Datos!AD16)," - ")</f>
        <v>3081</v>
      </c>
      <c r="F16" s="416">
        <f>IF(ISNUMBER(E16/B16),E16/B16," - ")</f>
        <v>770.25</v>
      </c>
      <c r="G16" s="415">
        <f>IF(ISNUMBER(IF(D_I="SI",Datos!K16,Datos!K16+Datos!AE16)),IF(D_I="SI",Datos!K16,Datos!K16+Datos!AE16)," - ")</f>
        <v>2903</v>
      </c>
      <c r="H16" s="416">
        <f>IF(ISNUMBER(G16/B16),G16/B16," - ")</f>
        <v>725.75</v>
      </c>
      <c r="I16" s="415">
        <f>IF(ISNUMBER(IF(D_I="SI",Datos!L16,Datos!L16+Datos!AF16)),IF(D_I="SI",Datos!L16,Datos!L16+Datos!AF16)," - ")</f>
        <v>4955</v>
      </c>
      <c r="J16" s="416">
        <f>IF(ISNUMBER(I16/B16),I16/B16," - ")</f>
        <v>1238.75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8</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8</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64</v>
      </c>
      <c r="D18" s="416">
        <f>IF(ISNUMBER(C18/Datos!BH18),C18/Datos!BH18," - ")</f>
        <v>64</v>
      </c>
      <c r="E18" s="415">
        <f>IF(ISNUMBER(IF(D_I="SI",Datos!J18,Datos!J18+Datos!AD18)),IF(D_I="SI",Datos!J18,Datos!J18+Datos!AD18)," - ")</f>
        <v>359</v>
      </c>
      <c r="F18" s="416">
        <f>IF(ISNUMBER(E18/B18),E18/B18," - ")</f>
        <v>359</v>
      </c>
      <c r="G18" s="415">
        <f>IF(ISNUMBER(IF(D_I="SI",Datos!K18,Datos!K18+Datos!AE18)),IF(D_I="SI",Datos!K18,Datos!K18+Datos!AE18)," - ")</f>
        <v>329</v>
      </c>
      <c r="H18" s="416">
        <f>IF(ISNUMBER(G18/B18),G18/B18," - ")</f>
        <v>329</v>
      </c>
      <c r="I18" s="415">
        <f>IF(ISNUMBER(IF(D_I="SI",Datos!L18,Datos!L18+Datos!AF18)),IF(D_I="SI",Datos!L18,Datos!L18+Datos!AF18)," - ")</f>
        <v>94</v>
      </c>
      <c r="J18" s="416">
        <f>IF(ISNUMBER(I18/B18),I18/B18," - ")</f>
        <v>94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4848</v>
      </c>
      <c r="D20" s="997" t="str">
        <f>IF(ISNUMBER(C20/Datos!BI20),C20/Datos!BI20," - ")</f>
        <v xml:space="preserve"> - </v>
      </c>
      <c r="E20" s="996">
        <f>SUBTOTAL(9,E15:E19)</f>
        <v>3440</v>
      </c>
      <c r="F20" s="997">
        <f>IF(ISNUMBER(E20/B20),E20/B20," - ")</f>
        <v>688</v>
      </c>
      <c r="G20" s="996">
        <f>SUBTOTAL(9,G15:G19)</f>
        <v>3232</v>
      </c>
      <c r="H20" s="997">
        <f>IF(ISNUMBER(G20/B20),G20/B20," - ")</f>
        <v>646.4</v>
      </c>
      <c r="I20" s="996">
        <f>SUBTOTAL(9,I15:I19)</f>
        <v>5057</v>
      </c>
      <c r="J20" s="997">
        <f>IF(ISNUMBER(I20/B20),I20/B20," - ")</f>
        <v>1011.4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11</v>
      </c>
      <c r="C21" s="941">
        <f>SUBTOTAL(9,C9:C20)</f>
        <v>18236</v>
      </c>
      <c r="D21" s="942" t="str">
        <f>IF(ISNUMBER(C21/Datos!BI21),C21/Datos!BI21," - ")</f>
        <v xml:space="preserve"> - </v>
      </c>
      <c r="E21" s="941">
        <f>SUBTOTAL(9,E9:E20)</f>
        <v>6486</v>
      </c>
      <c r="F21" s="942">
        <f>IF(ISNUMBER(E21/B21),E21/B21," - ")</f>
        <v>589.63636363636363</v>
      </c>
      <c r="G21" s="941">
        <f>SUBTOTAL(9,G9:G20)</f>
        <v>5239</v>
      </c>
      <c r="H21" s="942">
        <f>IF(ISNUMBER(G21/B21),G21/B21," - ")</f>
        <v>476.27272727272725</v>
      </c>
      <c r="I21" s="941">
        <f>SUBTOTAL(9,I9:I20)</f>
        <v>18753</v>
      </c>
      <c r="J21" s="942">
        <f>IF(ISNUMBER(I21/B21),I21/B21," - ")</f>
        <v>1704.8181818181818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dtjEGMkJwDGXD/T8+UOCwSAM4k3MzK9y1/MnQM1IY/3k3uLIjkfhcbHe02AY2RXpurO0v87tGiRT82IVOMFCA==" saltValue="oegWwqitjvIoxtgrDEf0i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ARONA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28</v>
      </c>
      <c r="G10" s="803">
        <f>IF(ISNUMBER(Datos!I10),Datos!I10," - ")</f>
        <v>28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70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4</v>
      </c>
      <c r="AN10" s="811">
        <f>IF(ISNUMBER(Datos!BW10+DatosP!BW18),Datos!BW10+DatosP!BW18," - ")</f>
        <v>0</v>
      </c>
      <c r="AO10" s="812">
        <f>IF(ISNUMBER(Datos!BX10+DatosP!BX18),Datos!BX10+DatosP!BX18," - ")</f>
        <v>0</v>
      </c>
      <c r="AP10" s="814">
        <f>IF(ISNUMBER(((Datos!L10/Datos!K10)*11)/factor_trimestre),((Datos!L10/Datos!K10)*11)/factor_trimestre," - ")</f>
        <v>34.999999999999993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656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-5.8823529411764705E-2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28</v>
      </c>
      <c r="G14" s="1085">
        <f t="shared" si="0"/>
        <v>28</v>
      </c>
      <c r="H14" s="1085">
        <f t="shared" si="0"/>
        <v>0</v>
      </c>
      <c r="I14" s="1087">
        <f t="shared" si="0"/>
        <v>0</v>
      </c>
      <c r="J14" s="1086">
        <f t="shared" si="0"/>
        <v>0</v>
      </c>
      <c r="K14" s="1086">
        <f t="shared" si="0"/>
        <v>0</v>
      </c>
      <c r="L14" s="1088">
        <f t="shared" si="0"/>
        <v>0</v>
      </c>
      <c r="M14" s="1088">
        <f t="shared" si="0"/>
        <v>0</v>
      </c>
      <c r="N14" s="1086">
        <f t="shared" si="0"/>
        <v>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41</v>
      </c>
      <c r="AE14" s="1086">
        <f t="shared" si="1"/>
        <v>0</v>
      </c>
      <c r="AF14" s="1086">
        <f t="shared" si="1"/>
        <v>70</v>
      </c>
      <c r="AG14" s="1086">
        <f t="shared" si="1"/>
        <v>0</v>
      </c>
      <c r="AH14" s="1086">
        <f t="shared" si="1"/>
        <v>656</v>
      </c>
      <c r="AI14" s="1086">
        <f t="shared" si="1"/>
        <v>0</v>
      </c>
      <c r="AJ14" s="1086">
        <f t="shared" si="1"/>
        <v>0</v>
      </c>
      <c r="AK14" s="1086">
        <f t="shared" si="1"/>
        <v>0</v>
      </c>
      <c r="AL14" s="1086">
        <f t="shared" si="1"/>
        <v>2</v>
      </c>
      <c r="AM14" s="1086">
        <f t="shared" si="1"/>
        <v>4</v>
      </c>
      <c r="AN14" s="1086">
        <f t="shared" si="1"/>
        <v>0</v>
      </c>
      <c r="AO14" s="1086">
        <f t="shared" si="1"/>
        <v>0</v>
      </c>
      <c r="AP14" s="1091">
        <f>IF(ISNUMBER(((Datos!L14/Datos!K14)*11)/factor_trimestre),((Datos!L14/Datos!K14)*11)/factor_trimestre," - ")</f>
        <v>21.017322834645672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-0.21428571428571427</v>
      </c>
      <c r="AU14" s="1086" t="str">
        <f>IF(ISNUMBER((DatosP!#REF!-DatosP!#REF!+DatosP!#REF!)/(DatosP!#REF!+DatosP!#REF!-DatosP!#REF!-DatosP!#REF!)),(DatosP!#REF!-DatosP!#REF!+DatosP!#REF!)/(DatosP!#REF!+DatosP!#REF!-DatosP!#REF!-DatosP!#REF!)," - ")</f>
        <v xml:space="preserve"> - </v>
      </c>
      <c r="AV14" s="1092">
        <f>SUBTOTAL(9,AV9:AV13)</f>
        <v>-5.8823529411764705E-2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4.6939975247524748</v>
      </c>
      <c r="AQ20" s="1091">
        <f>IF(ISNUMBER(((Datos!M20/Datos!L20)*11)/factor_trimestre),((Datos!M20/Datos!L20)*11)/factor_trimestre," - ")</f>
        <v>0.27704172434249558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2.5280898876404494E-2</v>
      </c>
      <c r="AW20" s="1093">
        <f>IF(ISNUMBER((Datos!Q20-Datos!R20)/(Datos!S20-Datos!Q20+Datos!R20)),(Datos!Q20-Datos!R20)/(Datos!S20-Datos!Q20+Datos!R20)," - ")</f>
        <v>-7.2898145796291586E-2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28</v>
      </c>
      <c r="G21" s="1098">
        <f t="shared" si="4"/>
        <v>28</v>
      </c>
      <c r="H21" s="1098">
        <f t="shared" si="4"/>
        <v>0</v>
      </c>
      <c r="I21" s="1099">
        <f t="shared" si="4"/>
        <v>0</v>
      </c>
      <c r="J21" s="1100">
        <f t="shared" si="4"/>
        <v>0</v>
      </c>
      <c r="K21" s="1100">
        <f t="shared" si="4"/>
        <v>0</v>
      </c>
      <c r="L21" s="1100">
        <f t="shared" si="4"/>
        <v>0</v>
      </c>
      <c r="M21" s="1100">
        <f t="shared" si="4"/>
        <v>0</v>
      </c>
      <c r="N21" s="1099">
        <f t="shared" si="4"/>
        <v>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41</v>
      </c>
      <c r="AE21" s="1104">
        <f t="shared" si="5"/>
        <v>0</v>
      </c>
      <c r="AF21" s="1105">
        <f t="shared" si="5"/>
        <v>70</v>
      </c>
      <c r="AG21" s="1105">
        <f t="shared" si="5"/>
        <v>0</v>
      </c>
      <c r="AH21" s="1105">
        <f t="shared" si="5"/>
        <v>656</v>
      </c>
      <c r="AI21" s="1105">
        <f t="shared" si="5"/>
        <v>0</v>
      </c>
      <c r="AJ21" s="1106">
        <f t="shared" si="5"/>
        <v>0</v>
      </c>
      <c r="AK21" s="1106">
        <f t="shared" si="5"/>
        <v>0</v>
      </c>
      <c r="AL21" s="1098">
        <f t="shared" si="5"/>
        <v>2</v>
      </c>
      <c r="AM21" s="1098">
        <f t="shared" si="5"/>
        <v>4</v>
      </c>
      <c r="AN21" s="1098">
        <f t="shared" si="5"/>
        <v>0</v>
      </c>
      <c r="AO21" s="1098">
        <f t="shared" si="5"/>
        <v>0</v>
      </c>
      <c r="AP21" s="1098">
        <f>IF(ISNUMBER(((Datos!L21/Datos!K21)*11)/factor_trimestre),((Datos!L21/Datos!K21)*11)/factor_trimestre," - ")</f>
        <v>10.747323340471093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-0.21428571428571427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2.5710308687464177E-2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16.165807537309522</v>
      </c>
      <c r="G23" s="871">
        <f>IF(ISNUMBER(STDEV(G8:G20)),STDEV(G8:G20),"-")</f>
        <v>16.165807537309522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1.1547005383792515</v>
      </c>
      <c r="AM23" s="870"/>
      <c r="AN23" s="870">
        <f>IF(ISNUMBER(STDEV(AN8:AN20)),STDEV(AN8:AN20),"-")</f>
        <v>0</v>
      </c>
      <c r="AO23" s="876">
        <f>IF(ISNUMBER(STDEV(AO8:AO20)),STDEV(AO8:AO20),"-")</f>
        <v>0</v>
      </c>
      <c r="AP23" s="923">
        <f>IF(ISNUMBER(STDEV(AP8:AP20)),STDEV(AP8:AP20),"-")</f>
        <v>15.16805852173589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a+hsHbXreYrvDm3VizDfdPtJIHdsadNb+b3syJsaR6814RtL6G3XeRT5coJj5JRroqrIhQasAXLEU+EglytBA==" saltValue="0EW8l+m04uk3bvXHtnHC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ARONA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vvE+71g4+zwYjqx5KxLPExFjPk3a80mR86ytSabFc1TU3t7u3VQ4gCQIHQmqIIhBbjTEEeHP49y5/SiqmxDAg==" saltValue="gyxSBmHTkfvYQzdW6i/N3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ARONA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421</v>
      </c>
      <c r="E9" s="416">
        <f t="shared" ref="E9:E14" si="0">IF(ISNUMBER(D9/B9),D9/B9," - ")</f>
        <v>70.166666666666671</v>
      </c>
      <c r="F9" s="415">
        <f>IF(ISNUMBER(Datos!N9),Datos!N9," - ")</f>
        <v>841</v>
      </c>
      <c r="G9" s="416">
        <f t="shared" ref="G9:G14" si="1">IF(ISNUMBER(F9/B9),F9/B9," - ")</f>
        <v>140.16666666666666</v>
      </c>
      <c r="H9" s="415">
        <f>IF(ISNUMBER(Datos!O9),Datos!O9," - ")</f>
        <v>849</v>
      </c>
      <c r="I9" s="416">
        <f>IF(ISNUMBER(H9/B9),H9/B9," - ")</f>
        <v>141.5</v>
      </c>
    </row>
    <row r="10" spans="1:9">
      <c r="A10" s="414" t="str">
        <f>Datos!A10</f>
        <v>Jdos. Violencia contra la mujer</v>
      </c>
      <c r="B10" s="444">
        <f>Datos!AO10</f>
        <v>1</v>
      </c>
      <c r="C10" s="422">
        <f>Datos!AQ10</f>
        <v>1</v>
      </c>
      <c r="D10" s="415">
        <f>IF(ISNUMBER(Datos!M10),Datos!M10," - ")</f>
        <v>2</v>
      </c>
      <c r="E10" s="416">
        <f>IF(ISNUMBER(D10/B10),D10/B10," - ")</f>
        <v>2</v>
      </c>
      <c r="F10" s="415">
        <f>IF(ISNUMBER(Datos!N10),Datos!N10," - ")</f>
        <v>4</v>
      </c>
      <c r="G10" s="416">
        <f>IF(ISNUMBER(F10/B10),F10/B10," - ")</f>
        <v>4</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2</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423</v>
      </c>
      <c r="E14" s="997">
        <f t="shared" si="0"/>
        <v>60.428571428571431</v>
      </c>
      <c r="F14" s="996">
        <f>SUBTOTAL(9,F9:F13)</f>
        <v>845</v>
      </c>
      <c r="G14" s="997">
        <f t="shared" si="1"/>
        <v>120.71428571428571</v>
      </c>
      <c r="H14" s="996">
        <f>SUBTOTAL(9,H9:H13)</f>
        <v>851</v>
      </c>
      <c r="I14" s="997">
        <f>IF(ISNUMBER(H14/B14),H14/B14," - ")</f>
        <v>121.57142857142857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349</v>
      </c>
      <c r="E16" s="416">
        <f t="shared" ref="E16:E20" si="3">IF(ISNUMBER(D16/B16),D16/B16," - ")</f>
        <v>87.25</v>
      </c>
      <c r="F16" s="415">
        <f>IF(ISNUMBER(Datos!N16),Datos!N16," - ")</f>
        <v>2107</v>
      </c>
      <c r="G16" s="416">
        <f t="shared" ref="G16:G20" si="4">IF(ISNUMBER(F16/B16),F16/B16," - ")</f>
        <v>526.75</v>
      </c>
      <c r="H16" s="415">
        <f>IF(ISNUMBER(Datos!O16),Datos!O16," - ")</f>
        <v>17</v>
      </c>
      <c r="I16" s="416">
        <f t="shared" ref="I16:I19" si="5">IF(ISNUMBER(H16/B16),H16/B16," - ")</f>
        <v>4.25</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1</v>
      </c>
      <c r="D18" s="415">
        <f>IF(ISNUMBER(Datos!M18),Datos!M18," - ")</f>
        <v>118</v>
      </c>
      <c r="E18" s="416">
        <f>IF(ISNUMBER(D18/B18),D18/B18," - ")</f>
        <v>118</v>
      </c>
      <c r="F18" s="415">
        <f>IF(ISNUMBER(Datos!N18),Datos!N18," - ")</f>
        <v>170</v>
      </c>
      <c r="G18" s="416">
        <f>IF(ISNUMBER(F18/B18),F18/B18," - ")</f>
        <v>170</v>
      </c>
      <c r="H18" s="415">
        <f>IF(ISNUMBER(Datos!O18),Datos!O18," - ")</f>
        <v>24</v>
      </c>
      <c r="I18" s="416">
        <f t="shared" si="5"/>
        <v>24</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467</v>
      </c>
      <c r="E20" s="997">
        <f t="shared" si="3"/>
        <v>93.4</v>
      </c>
      <c r="F20" s="996">
        <f>SUBTOTAL(9,F16:F19)</f>
        <v>2277</v>
      </c>
      <c r="G20" s="997">
        <f t="shared" si="4"/>
        <v>455.4</v>
      </c>
      <c r="H20" s="996">
        <f>SUBTOTAL(9,H16:H19)</f>
        <v>41</v>
      </c>
      <c r="I20" s="997">
        <f>IF(ISNUMBER(H20/B20),H20/B20," - ")</f>
        <v>8.1999999999999993</v>
      </c>
    </row>
    <row r="21" spans="1:9" ht="14.25" thickTop="1" thickBot="1">
      <c r="A21" s="940" t="str">
        <f>Datos!A21</f>
        <v>TOTAL JURISDICCIONES</v>
      </c>
      <c r="B21" s="941">
        <f>Datos!AP21</f>
        <v>11</v>
      </c>
      <c r="C21" s="941">
        <f>Datos!AR21</f>
        <v>11</v>
      </c>
      <c r="D21" s="941">
        <f>SUBTOTAL(9,D8:D20)</f>
        <v>890</v>
      </c>
      <c r="E21" s="942">
        <f>IF(ISNUMBER(D21/B21),D21/B21," - ")</f>
        <v>80.909090909090907</v>
      </c>
      <c r="F21" s="941">
        <f>SUBTOTAL(9,F8:F20)</f>
        <v>3122</v>
      </c>
      <c r="G21" s="942">
        <f>IF(ISNUMBER(F21/B21),F21/B21," - ")</f>
        <v>283.81818181818181</v>
      </c>
      <c r="H21" s="941">
        <f>SUBTOTAL(9,H8:H20)</f>
        <v>892</v>
      </c>
      <c r="I21" s="942">
        <f>IF(ISNUMBER(H21/B21),H21/B21," - ")</f>
        <v>81.090909090909093</v>
      </c>
    </row>
    <row r="24" spans="1:9">
      <c r="A24" s="403" t="str">
        <f>Criterios!A4</f>
        <v>Fecha Informe: 06 jun. 2023</v>
      </c>
    </row>
    <row r="29" spans="1:9">
      <c r="A29" s="426"/>
    </row>
  </sheetData>
  <sheetProtection algorithmName="SHA-512" hashValue="ZUup/XH3/wjMm40P7z9DdBa30c2CAozNVWOTGqr9pIN+GQ0BwI4JPbDiGEORtb3dFBOoFeYIguhDsVtMCde96g==" saltValue="8EyHnyTxT3aJWKLaXQn/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ARONA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462</v>
      </c>
      <c r="C9" s="451">
        <f>IF(ISNUMBER(Datos!Q9),Datos!Q9," - ")</f>
        <v>123</v>
      </c>
      <c r="D9" s="420">
        <f>IF(ISNUMBER(Datos!R9),Datos!R9," - ")</f>
        <v>11445</v>
      </c>
    </row>
    <row r="10" spans="1:4">
      <c r="A10" s="414" t="str">
        <f>Datos!A10</f>
        <v>Jdos. Violencia contra la mujer</v>
      </c>
      <c r="B10" s="450">
        <f>IF(ISNUMBER(Datos!P10),Datos!P10," - ")</f>
        <v>7</v>
      </c>
      <c r="C10" s="451">
        <f>IF(ISNUMBER(Datos!Q10),Datos!Q10," - ")</f>
        <v>0</v>
      </c>
      <c r="D10" s="420">
        <f>IF(ISNUMBER(Datos!R10),Datos!R10," - ")</f>
        <v>61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0</v>
      </c>
      <c r="C12" s="451">
        <f>IF(ISNUMBER(Datos!Q12),Datos!Q12," - ")</f>
        <v>41</v>
      </c>
      <c r="D12" s="420">
        <f>IF(ISNUMBER(Datos!R12),Datos!R12," - ")</f>
        <v>656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469</v>
      </c>
      <c r="C14" s="1000">
        <f>SUBTOTAL(9,C9:C13)</f>
        <v>164</v>
      </c>
      <c r="D14" s="998">
        <f>SUBTOTAL(9,D9:D13)</f>
        <v>12162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74</v>
      </c>
      <c r="C16" s="451">
        <f>IF(ISNUMBER(Datos!Q16),Datos!Q16," - ")</f>
        <v>54</v>
      </c>
      <c r="D16" s="420">
        <f>IF(ISNUMBER(Datos!R16),Datos!R16," - ")</f>
        <v>355</v>
      </c>
    </row>
    <row r="17" spans="1:4">
      <c r="A17" s="414" t="str">
        <f>Datos!A17</f>
        <v xml:space="preserve">Jdos. 1ª Instª. e Instr.                        </v>
      </c>
      <c r="B17" s="450">
        <f>IF(ISNUMBER(Datos!P17),Datos!P17," - ")</f>
        <v>0</v>
      </c>
      <c r="C17" s="451">
        <f>IF(ISNUMBER(Datos!Q17),Datos!Q17," - ")</f>
        <v>0</v>
      </c>
      <c r="D17" s="420">
        <f>IF(ISNUMBER(Datos!R17),Datos!R17," - ")</f>
        <v>0</v>
      </c>
    </row>
    <row r="18" spans="1:4">
      <c r="A18" s="414" t="str">
        <f>Datos!A18</f>
        <v>Jdos. Violencia contra la mujer</v>
      </c>
      <c r="B18" s="450">
        <f>IF(ISNUMBER(Datos!P18),Datos!P18," - ")</f>
        <v>13</v>
      </c>
      <c r="C18" s="451">
        <f>IF(ISNUMBER(Datos!Q18),Datos!Q18," - ")</f>
        <v>24</v>
      </c>
      <c r="D18" s="420">
        <f>IF(ISNUMBER(Datos!R18),Datos!R18," - ")</f>
        <v>10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87</v>
      </c>
      <c r="C20" s="1000">
        <f>SUBTOTAL(9,C16:C19)</f>
        <v>78</v>
      </c>
      <c r="D20" s="998">
        <f>SUBTOTAL(9,D16:D19)</f>
        <v>365</v>
      </c>
    </row>
    <row r="21" spans="1:4" ht="16.5" customHeight="1" thickTop="1" thickBot="1">
      <c r="A21" s="940" t="str">
        <f>Datos!A21</f>
        <v>TOTAL JURISDICCIONES</v>
      </c>
      <c r="B21" s="945">
        <f>SUBTOTAL(9,B8:B20)</f>
        <v>556</v>
      </c>
      <c r="C21" s="946">
        <f>SUBTOTAL(9,C8:C20)</f>
        <v>242</v>
      </c>
      <c r="D21" s="947">
        <f>SUBTOTAL(9,D8:D20)</f>
        <v>12527</v>
      </c>
    </row>
    <row r="22" spans="1:4" ht="7.5" customHeight="1"/>
    <row r="23" spans="1:4" ht="6" customHeight="1"/>
    <row r="24" spans="1:4">
      <c r="A24" s="403" t="str">
        <f>Criterios!A4</f>
        <v>Fecha Informe: 06 jun. 2023</v>
      </c>
    </row>
    <row r="29" spans="1:4">
      <c r="A29" s="426"/>
    </row>
  </sheetData>
  <sheetProtection algorithmName="SHA-512" hashValue="Q49JSqzFFSy3iTXoTbVh3HwNhBsX/ReGkJdzPcFW4OuKFoNbGf54VpMToZEvgAy74FUooOEfeXcXx6jyT7N/Cw==" saltValue="z+esF7YS8m7b7tDj/3pd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ARONA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8.4598522367459614E-2</v>
      </c>
      <c r="C9" s="473">
        <f>IF(ISNUMBER(
   IF(J_V="SI",(Datos!J9-Datos!T9)/Datos!T9,(Datos!J9+Datos!Z9-(Datos!T9+Datos!AH9))/(Datos!T9+Datos!AH9))
     ),IF(J_V="SI",(Datos!J9-Datos!T9)/Datos!T9,(Datos!J9+Datos!Z9-(Datos!T9+Datos!AH9))/(Datos!T9+Datos!AH9))," - ")</f>
        <v>9.3761400948558921E-2</v>
      </c>
      <c r="D9" s="473">
        <f>IF(ISNUMBER(
   IF(J_V="SI",(Datos!K9-Datos!U9)/Datos!U9,(Datos!K9+Datos!AA9-(Datos!U9+Datos!AI9))/(Datos!U9+Datos!AI9))
     ),IF(J_V="SI",(Datos!K9-Datos!U9)/Datos!U9,(Datos!K9+Datos!AA9-(Datos!U9+Datos!AI9))/(Datos!U9+Datos!AI9))," - ")</f>
        <v>-9.3339374716810156E-2</v>
      </c>
      <c r="E9" s="473">
        <f>IF(ISNUMBER(
   IF(J_V="SI",(Datos!L9-Datos!V9)/Datos!V9,(Datos!L9+Datos!AB9-(Datos!V9+Datos!AJ9))/(Datos!V9+Datos!AJ9))
     ),IF(J_V="SI",(Datos!L9-Datos!V9)/Datos!V9,(Datos!L9+Datos!AB9-(Datos!V9+Datos!AJ9))/(Datos!V9+Datos!AJ9))," - ")</f>
        <v>6.0228775970741576E-2</v>
      </c>
      <c r="F9" s="473">
        <f>IF(ISNUMBER((Datos!M9-Datos!W9)/Datos!W9),(Datos!M9-Datos!W9)/Datos!W9," - ")</f>
        <v>-0.21013133208255161</v>
      </c>
      <c r="G9" s="474">
        <f>IF(ISNUMBER((Datos!N9-Datos!X9)/Datos!X9),(Datos!N9-Datos!X9)/Datos!X9," - ")</f>
        <v>5.2565707133917394E-2</v>
      </c>
      <c r="H9" s="472">
        <f>IF(ISNUMBER(((NºAsuntos!G9/NºAsuntos!E9)-Datos!BD9)/Datos!BD9),((NºAsuntos!G9/NºAsuntos!E9)-Datos!BD9)/Datos!BD9," - ")</f>
        <v>-0.17106178322173998</v>
      </c>
      <c r="I9" s="473">
        <f>IF(ISNUMBER(((NºAsuntos!I9/NºAsuntos!G9)-Datos!BE9)/Datos!BE9),((NºAsuntos!I9/NºAsuntos!G9)-Datos!BE9)/Datos!BE9," - ")</f>
        <v>0.16937776540101285</v>
      </c>
      <c r="J9" s="478">
        <f>IF(ISNUMBER((('Resol  Asuntos'!D9/NºAsuntos!G9)-Datos!BF9)/Datos!BF9),(('Resol  Asuntos'!D9/NºAsuntos!G9)-Datos!BF9)/Datos!BF9," - ")</f>
        <v>-0.41884689695202465</v>
      </c>
      <c r="K9" s="479">
        <f>IF(ISNUMBER((((NºAsuntos!C9+NºAsuntos!E9)/NºAsuntos!G9)-Datos!BG9)/Datos!BG9),(((NºAsuntos!C9+NºAsuntos!E9)/NºAsuntos!G9)-Datos!BG9)/Datos!BG9," - ")</f>
        <v>0.1980959646355597</v>
      </c>
    </row>
    <row r="10" spans="1:11">
      <c r="A10" s="414" t="str">
        <f>Datos!A10</f>
        <v>Jdos. Violencia contra la mujer</v>
      </c>
      <c r="B10" s="472">
        <f>IF(ISNUMBER((Datos!I10-Datos!S10)/Datos!S10),(Datos!I10-Datos!S10)/Datos!S10," - ")</f>
        <v>-0.40425531914893614</v>
      </c>
      <c r="C10" s="473">
        <f>IF(ISNUMBER((Datos!J10-Datos!T10)/Datos!T10),(Datos!J10-Datos!T10)/Datos!T10," - ")</f>
        <v>1</v>
      </c>
      <c r="D10" s="473">
        <f>IF(ISNUMBER((Datos!K10-Datos!U10)/Datos!U10),(Datos!K10-Datos!U10)/Datos!U10," - ")</f>
        <v>-0.81818181818181823</v>
      </c>
      <c r="E10" s="473">
        <f>IF(ISNUMBER((Datos!L10-Datos!V10)/Datos!V10),(Datos!L10-Datos!V10)/Datos!V10," - ")</f>
        <v>0.84210526315789469</v>
      </c>
      <c r="F10" s="473">
        <f>IF(ISNUMBER((Datos!M10-Datos!W10)/Datos!W10),(Datos!M10-Datos!W10)/Datos!W10," - ")</f>
        <v>-0.8571428571428571</v>
      </c>
      <c r="G10" s="474">
        <f>IF(ISNUMBER((Datos!N10-Datos!X10)/Datos!X10),(Datos!N10-Datos!X10)/Datos!X10," - ")</f>
        <v>-0.66666666666666663</v>
      </c>
      <c r="H10" s="472">
        <f>IF(ISNUMBER(((NºAsuntos!G10/NºAsuntos!E10)-Datos!BD10)/Datos!BD10),((NºAsuntos!G10/NºAsuntos!E10)-Datos!BD10)/Datos!BD10," - ")</f>
        <v>-0.90909090909090906</v>
      </c>
      <c r="I10" s="473">
        <f>IF(ISNUMBER(((NºAsuntos!I10/NºAsuntos!G10)-Datos!BE10)/Datos!BE10),((NºAsuntos!I10/NºAsuntos!G10)-Datos!BE10)/Datos!BE10," - ")</f>
        <v>9.1315789473684195</v>
      </c>
      <c r="J10" s="478">
        <f>IF(ISNUMBER((('Resol  Asuntos'!D10/NºAsuntos!G10)-Datos!BF10)/Datos!BF10),(('Resol  Asuntos'!D10/NºAsuntos!G10)-Datos!BF10)/Datos!BF10," - ")</f>
        <v>-0.21428571428571436</v>
      </c>
      <c r="K10" s="479">
        <f>IF(ISNUMBER((((NºAsuntos!C10+NºAsuntos!E10)/NºAsuntos!G10)-Datos!BG10)/Datos!BG10),(((NºAsuntos!C10+NºAsuntos!E10)/NºAsuntos!G10)-Datos!BG10)/Datos!BG10," - ")</f>
        <v>4.887323943661972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f>IF(ISNUMBER(
   IF(J_V="SI",(Datos!L12-Datos!V12)/Datos!V12,(Datos!L12+Datos!AB12-(Datos!V12+Datos!AJ12))/(Datos!V12+Datos!AJ12))
     ),IF(J_V="SI",(Datos!L12-Datos!V12)/Datos!V12,(Datos!L12+Datos!AB12-(Datos!V12+Datos!AJ12))/(Datos!V12+Datos!AJ12))," - ")</f>
        <v>0</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8.2645964742034617E-2</v>
      </c>
      <c r="C14" s="1002">
        <f>IF(ISNUMBER(
   IF(J_V="SI",(Datos!J14-Datos!T14)/Datos!T14,(Datos!J14+Datos!Z14-(Datos!T14+Datos!AH14))/(Datos!T14+Datos!AH14))
     ),IF(J_V="SI",(Datos!J14-Datos!T14)/Datos!T14,(Datos!J14+Datos!Z14-(Datos!T14+Datos!AH14))/(Datos!T14+Datos!AH14))," - ")</f>
        <v>0.10162748643761302</v>
      </c>
      <c r="D14" s="1002">
        <f>IF(ISNUMBER(
   IF(J_V="SI",(Datos!K14-Datos!U14)/Datos!U14,(Datos!K14+Datos!AA14-(Datos!U14+Datos!AI14))/(Datos!U14+Datos!AI14))
     ),IF(J_V="SI",(Datos!K14-Datos!U14)/Datos!U14,(Datos!K14+Datos!AA14-(Datos!U14+Datos!AI14))/(Datos!U14+Datos!AI14))," - ")</f>
        <v>-0.10401785714285715</v>
      </c>
      <c r="E14" s="1002">
        <f>IF(ISNUMBER(
   IF(J_V="SI",(Datos!L14-Datos!V14)/Datos!V14,(Datos!L14+Datos!AB14-(Datos!V14+Datos!AJ14))/(Datos!V14+Datos!AJ14))
     ),IF(J_V="SI",(Datos!L14-Datos!V14)/Datos!V14,(Datos!L14+Datos!AB14-(Datos!V14+Datos!AJ14))/(Datos!V14+Datos!AJ14))," - ")</f>
        <v>6.2529092319627624E-2</v>
      </c>
      <c r="F14" s="1003">
        <f>IF(ISNUMBER((Datos!M14-Datos!W14)/Datos!W14),(Datos!M14-Datos!W14)/Datos!W14," - ")</f>
        <v>-0.22669104204753199</v>
      </c>
      <c r="G14" s="1004">
        <f>IF(ISNUMBER((Datos!N14-Datos!X14)/Datos!X14),(Datos!N14-Datos!X14)/Datos!X14," - ")</f>
        <v>4.192355117139334E-2</v>
      </c>
      <c r="H14" s="1004">
        <f>IF(ISNUMBER(((NºAsuntos!G14/NºAsuntos!E14)-Datos!BD14)/Datos!BD14),((NºAsuntos!G14/NºAsuntos!E14)-Datos!BD14)/Datos!BD14," - ")</f>
        <v>-0.18667412179908074</v>
      </c>
      <c r="I14" s="1004">
        <f>IF(ISNUMBER(((NºAsuntos!I14/NºAsuntos!G14)-Datos!BE14)/Datos!BE14),((NºAsuntos!I14/NºAsuntos!G14)-Datos!BE14)/Datos!BE14," - ")</f>
        <v>0.18588199641054598</v>
      </c>
      <c r="J14" s="1004">
        <f>IF(ISNUMBER((('Resol  Asuntos'!D14/NºAsuntos!G14)-Datos!BF14)/Datos!BF14),(('Resol  Asuntos'!D14/NºAsuntos!G14)-Datos!BF14)/Datos!BF14," - ")</f>
        <v>-0.419301816336549</v>
      </c>
      <c r="K14" s="1004">
        <f>IF(ISNUMBER((((NºAsuntos!C14+NºAsuntos!E14)/NºAsuntos!G14)-Datos!BG14)/Datos!BG14),(((NºAsuntos!C14+NºAsuntos!E14)/NºAsuntos!G14)-Datos!BG14)/Datos!BG14," - ")</f>
        <v>0.21220563135759357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0.38274464389114071</v>
      </c>
      <c r="C16" s="473">
        <f>IF(ISNUMBER(
   IF(D_I="SI",(Datos!J16-Datos!T16)/Datos!T16,(Datos!J16+Datos!AD16-(Datos!T16+Datos!AL16))/(Datos!T16+Datos!AL16))
     ),IF(D_I="SI",(Datos!J16-Datos!T16)/Datos!T16,(Datos!J16+Datos!AD16-(Datos!T16+Datos!AL16))/(Datos!T16+Datos!AL16))," - ")</f>
        <v>0.16527987897125568</v>
      </c>
      <c r="D16" s="473">
        <f>IF(ISNUMBER(
   IF(D_I="SI",(Datos!K16-Datos!U16)/Datos!U16,(Datos!K16+Datos!AE16-(Datos!U16+Datos!AM16))/(Datos!U16+Datos!AM16))
     ),IF(D_I="SI",(Datos!K16-Datos!U16)/Datos!U16,(Datos!K16+Datos!AE16-(Datos!U16+Datos!AM16))/(Datos!U16+Datos!AM16))," - ")</f>
        <v>0.11183454615090004</v>
      </c>
      <c r="E16" s="473">
        <f>IF(ISNUMBER(
   IF(D_I="SI",(Datos!L16-Datos!V16)/Datos!V16,(Datos!L16+Datos!AF16-(Datos!V16+Datos!AN16))/(Datos!V16+Datos!AN16))
     ),IF(D_I="SI",(Datos!L16-Datos!V16)/Datos!V16,(Datos!L16+Datos!AF16-(Datos!V16+Datos!AN16))/(Datos!V16+Datos!AN16))," - ")</f>
        <v>0.40887119704293434</v>
      </c>
      <c r="F16" s="473">
        <f>IF(ISNUMBER((Datos!M16-Datos!W16)/Datos!W16),(Datos!M16-Datos!W16)/Datos!W16," - ")</f>
        <v>-0.25586353944562901</v>
      </c>
      <c r="G16" s="474">
        <f>IF(ISNUMBER((Datos!N16-Datos!X16)/Datos!X16),(Datos!N16-Datos!X16)/Datos!X16," - ")</f>
        <v>0.22928821470245042</v>
      </c>
      <c r="H16" s="472">
        <f>IF(ISNUMBER(((NºAsuntos!G16/NºAsuntos!E16)-Datos!BD16)/Datos!BD16),((NºAsuntos!G16/NºAsuntos!E16)-Datos!BD16)/Datos!BD16," - ")</f>
        <v>-4.5864803627724812E-2</v>
      </c>
      <c r="I16" s="473">
        <f>IF(ISNUMBER(((NºAsuntos!I16/NºAsuntos!G16)-Datos!BE16)/Datos!BE16),((NºAsuntos!I16/NºAsuntos!G16)-Datos!BE16)/Datos!BE16," - ")</f>
        <v>0.26715904081264247</v>
      </c>
      <c r="J16" s="478">
        <f>IF(ISNUMBER((('Resol  Asuntos'!D16/NºAsuntos!G16)-Datos!BF16)/Datos!BF16),(('Resol  Asuntos'!D16/NºAsuntos!G16)-Datos!BF16)/Datos!BF16," - ")</f>
        <v>-0.33071295263263428</v>
      </c>
      <c r="K16" s="479">
        <f>IF(ISNUMBER((((NºAsuntos!C16+NºAsuntos!E16)/NºAsuntos!G16)-Datos!BG16)/Datos!BG16),(((NºAsuntos!C16+NºAsuntos!E16)/NºAsuntos!G16)-Datos!BG16)/Datos!BG16," - ")</f>
        <v>0.1588551872973378</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v>
      </c>
      <c r="C17" s="473">
        <f>IF(ISNUMBER(
   IF(D_I="SI",(Datos!J17-Datos!T17)/Datos!T17,(Datos!J17+Datos!AD17-(Datos!T17+Datos!AL17))/(Datos!T17+Datos!AL17))
     ),IF(D_I="SI",(Datos!J17-Datos!T17)/Datos!T17,(Datos!J17+Datos!AD17-(Datos!T17+Datos!AL17))/(Datos!T17+Datos!AL17))," - ")</f>
        <v>-1</v>
      </c>
      <c r="D17" s="473">
        <f>IF(ISNUMBER(
   IF(D_I="SI",(Datos!K17-Datos!U17)/Datos!U17,(Datos!K17+Datos!AE17-(Datos!U17+Datos!AM17))/(Datos!U17+Datos!AM17))
     ),IF(D_I="SI",(Datos!K17-Datos!U17)/Datos!U17,(Datos!K17+Datos!AE17-(Datos!U17+Datos!AM17))/(Datos!U17+Datos!AM17))," - ")</f>
        <v>-1</v>
      </c>
      <c r="E17" s="473">
        <f>IF(ISNUMBER(
   IF(D_I="SI",(Datos!L17-Datos!V17)/Datos!V17,(Datos!L17+Datos!AF17-(Datos!V17+Datos!AN17))/(Datos!V17+Datos!AN17))
     ),IF(D_I="SI",(Datos!L17-Datos!V17)/Datos!V17,(Datos!L17+Datos!AF17-(Datos!V17+Datos!AN17))/(Datos!V17+Datos!AN17))," - ")</f>
        <v>0</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-0.65957446808510634</v>
      </c>
      <c r="C18" s="473">
        <f>IF(ISNUMBER(
   IF(D_I="SI",(Datos!J18-Datos!T18)/Datos!T18,(Datos!J18+Datos!AD18-(Datos!T18+Datos!AL18))/(Datos!T18+Datos!AL18))
     ),IF(D_I="SI",(Datos!J18-Datos!T18)/Datos!T18,(Datos!J18+Datos!AD18-(Datos!T18+Datos!AL18))/(Datos!T18+Datos!AL18))," - ")</f>
        <v>0.45344129554655871</v>
      </c>
      <c r="D18" s="473">
        <f>IF(ISNUMBER(
   IF(D_I="SI",(Datos!K18-Datos!U18)/Datos!U18,(Datos!K18+Datos!AE18-(Datos!U18+Datos!AM18))/(Datos!U18+Datos!AM18))
     ),IF(D_I="SI",(Datos!K18-Datos!U18)/Datos!U18,(Datos!K18+Datos!AE18-(Datos!U18+Datos!AM18))/(Datos!U18+Datos!AM18))," - ")</f>
        <v>0.5161290322580645</v>
      </c>
      <c r="E18" s="473">
        <f>IF(ISNUMBER(
   IF(D_I="SI",(Datos!L18-Datos!V18)/Datos!V18,(Datos!L18+Datos!AF18-(Datos!V18+Datos!AN18))/(Datos!V18+Datos!AN18))
     ),IF(D_I="SI",(Datos!L18-Datos!V18)/Datos!V18,(Datos!L18+Datos!AF18-(Datos!V18+Datos!AN18))/(Datos!V18+Datos!AN18))," - ")</f>
        <v>-0.56880733944954132</v>
      </c>
      <c r="F18" s="473">
        <f>IF(ISNUMBER((Datos!M18-Datos!W18)/Datos!W18),(Datos!M18-Datos!W18)/Datos!W18," - ")</f>
        <v>0.73529411764705888</v>
      </c>
      <c r="G18" s="474">
        <f>IF(ISNUMBER((Datos!N18-Datos!X18)/Datos!X18),(Datos!N18-Datos!X18)/Datos!X18," - ")</f>
        <v>0.93181818181818177</v>
      </c>
      <c r="H18" s="472">
        <f>IF(ISNUMBER(((NºAsuntos!G18/NºAsuntos!E18)-Datos!BD18)/Datos!BD18),((NºAsuntos!G18/NºAsuntos!E18)-Datos!BD18)/Datos!BD18," - ")</f>
        <v>4.3130559798724141E-2</v>
      </c>
      <c r="I18" s="473">
        <f>IF(ISNUMBER(((NºAsuntos!I18/NºAsuntos!G18)-Datos!BE18)/Datos!BE18),((NºAsuntos!I18/NºAsuntos!G18)-Datos!BE18)/Datos!BE18," - ")</f>
        <v>-0.7155963302752294</v>
      </c>
      <c r="J18" s="478">
        <f>IF(ISNUMBER((('Resol  Asuntos'!D18/NºAsuntos!G18)-Datos!BF18)/Datos!BF18),(('Resol  Asuntos'!D18/NºAsuntos!G18)-Datos!BF18)/Datos!BF18," - ")</f>
        <v>0.14455569461827292</v>
      </c>
      <c r="K18" s="479">
        <f>IF(ISNUMBER((((NºAsuntos!C18+NºAsuntos!E18)/NºAsuntos!G18)-Datos!BG18)/Datos!BG18),(((NºAsuntos!C18+NºAsuntos!E18)/NºAsuntos!G18)-Datos!BG18)/Datos!BG18," - ")</f>
        <v>-0.3586206896551723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0.32821917808219175</v>
      </c>
      <c r="C20" s="1002">
        <f>IF(ISNUMBER(
   IF(Criterios!B14="SI",(Datos!J20-Datos!T20)/Datos!T20,(Datos!J20+Datos!AD20-(Datos!T20+Datos!AL20))/(Datos!T20+Datos!AL20))
     ),IF(Criterios!B14="SI",(Datos!J20-Datos!T20)/Datos!T20,(Datos!J20+Datos!AD20-(Datos!T20+Datos!AL20))/(Datos!T20+Datos!AL20))," - ")</f>
        <v>0.18948824343015214</v>
      </c>
      <c r="D20" s="1002">
        <f>IF(ISNUMBER(
   IF(Criterios!B14="SI",(Datos!K20-Datos!U20)/Datos!U20,(Datos!K20+Datos!AE20-(Datos!U20+Datos!AM20))/(Datos!U20+Datos!AM20))
     ),IF(Criterios!B14="SI",(Datos!K20-Datos!U20)/Datos!U20,(Datos!K20+Datos!AE20-(Datos!U20+Datos!AM20))/(Datos!U20+Datos!AM20))," - ")</f>
        <v>0.14245316366207139</v>
      </c>
      <c r="E20" s="1002">
        <f>IF(ISNUMBER(
   IF(Criterios!B14="SI",(Datos!L20-Datos!V20)/Datos!V20,(Datos!L20+Datos!AF20-(Datos!V20+Datos!AN20))/(Datos!V20+Datos!AN20))
     ),IF(Criterios!B14="SI",(Datos!L20-Datos!V20)/Datos!V20,(Datos!L20+Datos!AF20-(Datos!V20+Datos!AN20))/(Datos!V20+Datos!AN20))," - ")</f>
        <v>0.35105530323270107</v>
      </c>
      <c r="F20" s="1003">
        <f>IF(ISNUMBER((Datos!M20-Datos!W20)/Datos!W20),(Datos!M20-Datos!W20)/Datos!W20," - ")</f>
        <v>-0.13035381750465549</v>
      </c>
      <c r="G20" s="1004">
        <f>IF(ISNUMBER((Datos!N20-Datos!X20)/Datos!X20),(Datos!N20-Datos!X20)/Datos!X20," - ")</f>
        <v>0.26359600443951164</v>
      </c>
      <c r="H20" s="1004">
        <f>IF(ISNUMBER(((NºAsuntos!G20/NºAsuntos!E20)-Datos!BD20)/Datos!BD20),((NºAsuntos!G20/NºAsuntos!E20)-Datos!BD20)/Datos!BD20," - ")</f>
        <v>-3.9542282177119047E-2</v>
      </c>
      <c r="I20" s="1004">
        <f>IF(ISNUMBER(((NºAsuntos!I20/NºAsuntos!G20)-Datos!BE20)/Datos!BE20),((NºAsuntos!I20/NºAsuntos!G20)-Datos!BE20)/Datos!BE20," - ")</f>
        <v>0.18259141486550456</v>
      </c>
      <c r="J20" s="1004">
        <f>IF(ISNUMBER((('Resol  Asuntos'!D20/NºAsuntos!G20)-Datos!BF20)/Datos!BF20),(('Resol  Asuntos'!D20/NºAsuntos!G20)-Datos!BF20)/Datos!BF20," - ")</f>
        <v>-0.23879051662149456</v>
      </c>
      <c r="K20" s="1004">
        <f>IF(ISNUMBER((((NºAsuntos!C20+NºAsuntos!E20)/NºAsuntos!G20)-Datos!BG20)/Datos!BG20),(((NºAsuntos!C20+NºAsuntos!E20)/NºAsuntos!G20)-Datos!BG20)/Datos!BG20," - ")</f>
        <v>0.1089214852393218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0.13861138861138861</v>
      </c>
      <c r="C21" s="949">
        <f>IF(ISNUMBER(
   IF(J_V="SI",(Datos!J21-Datos!T21)/Datos!T21,(Datos!J21+Datos!Z21-(Datos!T21+Datos!AH21))/(Datos!T21+Datos!AH21))
     ),IF(J_V="SI",(Datos!J21-Datos!T21)/Datos!T21,(Datos!J21+Datos!Z21-(Datos!T21+Datos!AH21))/(Datos!T21+Datos!AH21))," - ")</f>
        <v>0.1465441046491073</v>
      </c>
      <c r="D21" s="949">
        <f>IF(ISNUMBER(
   IF(J_V="SI",(Datos!K21-Datos!U21)/Datos!U21,(Datos!K21+Datos!AA21-(Datos!U21+Datos!AI21))/(Datos!U21+Datos!AI21))
     ),IF(J_V="SI",(Datos!K21-Datos!U21)/Datos!U21,(Datos!K21+Datos!AA21-(Datos!U21+Datos!AI21))/(Datos!U21+Datos!AI21))," - ")</f>
        <v>3.3537186821858356E-2</v>
      </c>
      <c r="E21" s="949">
        <f>IF(ISNUMBER(
   IF(J_V="SI",(Datos!L21-Datos!V21)/Datos!V21,(Datos!L21+Datos!AB21-(Datos!V21+Datos!AJ21))/(Datos!V21+Datos!AJ21))
     ),IF(J_V="SI",(Datos!L21-Datos!V21)/Datos!V21,(Datos!L21+Datos!AB21-(Datos!V21+Datos!AJ21))/(Datos!V21+Datos!AJ21))," - ")</f>
        <v>0.12745746407743641</v>
      </c>
      <c r="F21" s="950">
        <f>IF(ISNUMBER((Datos!M21-Datos!W21)/Datos!W21),(Datos!M21-Datos!W21)/Datos!W21," - ")</f>
        <v>-0.17896678966789667</v>
      </c>
      <c r="G21" s="951">
        <f>IF(ISNUMBER((Datos!N21-Datos!X21)/Datos!X21),(Datos!N21-Datos!X21)/Datos!X21," - ")</f>
        <v>0.19479525449674703</v>
      </c>
      <c r="H21" s="952">
        <f>IF(ISNUMBER((Tasas!B21-Datos!BD21)/Datos!BD21),(Tasas!B21-Datos!BD21)/Datos!BD21," - ")</f>
        <v>-9.8563079578900342E-2</v>
      </c>
      <c r="I21" s="953">
        <f>IF(ISNUMBER((Tasas!C21-Datos!BE21)/Datos!BE21),(Tasas!C21-Datos!BE21)/Datos!BE21," - ")</f>
        <v>9.0872663754251778E-2</v>
      </c>
      <c r="J21" s="954">
        <f>IF(ISNUMBER((Tasas!D21-Datos!BF21)/Datos!BF21),(Tasas!D21-Datos!BF21)/Datos!BF21," - ")</f>
        <v>-0.36213300530918391</v>
      </c>
      <c r="K21" s="954">
        <f>IF(ISNUMBER((Tasas!E21-Datos!BG21)/Datos!BG21),(Tasas!E21-Datos!BG21)/Datos!BG21," - ")</f>
        <v>0.10366803347755621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hR0Lbqh+VmKfAcYAkVFpsj9jxnvrw0bPPmCNrgEW8b27FLgz6x/8rXq07k7AFMKQ7xIi0BHV2rg7mPLjzkIQA==" saltValue="erNM3eof/EvB/l0cZyJ4u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ARONA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0.6674449633088726</v>
      </c>
      <c r="C9" s="460">
        <f>IF(ISNUMBER(NºAsuntos!I9/NºAsuntos!G9),NºAsuntos!I9/NºAsuntos!G9," - ")</f>
        <v>6.8090954522738629</v>
      </c>
      <c r="D9" s="461">
        <f>IF(ISNUMBER('Resol  Asuntos'!D9/NºAsuntos!G9),'Resol  Asuntos'!D9/NºAsuntos!G9," - ")</f>
        <v>0.21039480259870064</v>
      </c>
      <c r="E9" s="462">
        <f>IF(ISNUMBER((NºAsuntos!C9+NºAsuntos!E9)/NºAsuntos!G9),(NºAsuntos!C9+NºAsuntos!E9)/NºAsuntos!G9," - ")</f>
        <v>8.1744127936031976</v>
      </c>
      <c r="G9" s="480"/>
    </row>
    <row r="10" spans="1:7">
      <c r="A10" s="414" t="str">
        <f>Datos!A10</f>
        <v>Jdos. Violencia contra la mujer</v>
      </c>
      <c r="B10" s="459">
        <f>IF(ISNUMBER(NºAsuntos!G10/NºAsuntos!E10),NºAsuntos!G10/NºAsuntos!E10," - ")</f>
        <v>0.125</v>
      </c>
      <c r="C10" s="460">
        <f>IF(ISNUMBER(NºAsuntos!I10/NºAsuntos!G10),NºAsuntos!I10/NºAsuntos!G10," - ")</f>
        <v>11.666666666666666</v>
      </c>
      <c r="D10" s="461">
        <f>IF(ISNUMBER('Resol  Asuntos'!D10/NºAsuntos!G10),'Resol  Asuntos'!D10/NºAsuntos!G10," - ")</f>
        <v>0.33333333333333331</v>
      </c>
      <c r="E10" s="462">
        <f>IF(ISNUMBER((NºAsuntos!C10+NºAsuntos!E10)/NºAsuntos!G10),(NºAsuntos!C10+NºAsuntos!E10)/NºAsuntos!G10," - ")</f>
        <v>12.666666666666666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0.65889691398555483</v>
      </c>
      <c r="C14" s="1006">
        <f>IF(ISNUMBER(NºAsuntos!I14/NºAsuntos!G14),NºAsuntos!I14/NºAsuntos!G14," - ")</f>
        <v>6.8241155954160435</v>
      </c>
      <c r="D14" s="1007">
        <f>IF(ISNUMBER('Resol  Asuntos'!D14/NºAsuntos!G14),'Resol  Asuntos'!D14/NºAsuntos!G14," - ")</f>
        <v>0.21076233183856502</v>
      </c>
      <c r="E14" s="1008">
        <f>IF(ISNUMBER((NºAsuntos!C14+NºAsuntos!E14)/NºAsuntos!G14),(NºAsuntos!C14+NºAsuntos!E14)/NºAsuntos!G14," - ")</f>
        <v>8.1883408071748871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0.94222654982148657</v>
      </c>
      <c r="C16" s="460">
        <f>IF(ISNUMBER(NºAsuntos!I16/NºAsuntos!G16),NºAsuntos!I16/NºAsuntos!G16," - ")</f>
        <v>1.7068549776093696</v>
      </c>
      <c r="D16" s="461">
        <f>IF(ISNUMBER('Resol  Asuntos'!D16/NºAsuntos!G16),'Resol  Asuntos'!D16/NºAsuntos!G16," - ")</f>
        <v>0.12022046159145712</v>
      </c>
      <c r="E16" s="462">
        <f>IF(ISNUMBER((NºAsuntos!C16+NºAsuntos!E16)/NºAsuntos!G16),(NºAsuntos!C16+NºAsuntos!E16)/NºAsuntos!G16," - ")</f>
        <v>2.7065105063727177</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0.91643454038997219</v>
      </c>
      <c r="C18" s="460">
        <f>IF(ISNUMBER(NºAsuntos!I18/NºAsuntos!G18),NºAsuntos!I18/NºAsuntos!G18," - ")</f>
        <v>0.2857142857142857</v>
      </c>
      <c r="D18" s="461">
        <f>IF(ISNUMBER('Resol  Asuntos'!D18/NºAsuntos!G18),'Resol  Asuntos'!D18/NºAsuntos!G18," - ")</f>
        <v>0.35866261398176291</v>
      </c>
      <c r="E18" s="462">
        <f>IF(ISNUMBER((NºAsuntos!C18+NºAsuntos!E18)/NºAsuntos!G18),(NºAsuntos!C18+NºAsuntos!E18)/NºAsuntos!G18," - ")</f>
        <v>1.2857142857142858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0.93953488372093019</v>
      </c>
      <c r="C20" s="1006">
        <f>IF(ISNUMBER(NºAsuntos!I20/NºAsuntos!G20),NºAsuntos!I20/NºAsuntos!G20," - ")</f>
        <v>1.5646658415841583</v>
      </c>
      <c r="D20" s="1009">
        <f>IF(ISNUMBER('Resol  Asuntos'!D20/NºAsuntos!G20),'Resol  Asuntos'!D20/NºAsuntos!G20," - ")</f>
        <v>0.14449257425742573</v>
      </c>
      <c r="E20" s="1008">
        <f>IF(ISNUMBER((NºAsuntos!C20+NºAsuntos!E20)/NºAsuntos!G20),(NºAsuntos!C20+NºAsuntos!E20)/NºAsuntos!G20," - ")</f>
        <v>2.5643564356435644</v>
      </c>
      <c r="G20" s="480"/>
    </row>
    <row r="21" spans="1:7" ht="15.75" customHeight="1" thickTop="1" thickBot="1">
      <c r="A21" s="940" t="str">
        <f>Datos!A21</f>
        <v>TOTAL JURISDICCIONES</v>
      </c>
      <c r="B21" s="955">
        <f>IF(ISNUMBER(NºAsuntos!G21/NºAsuntos!E21),NºAsuntos!G21/NºAsuntos!E21," - ")</f>
        <v>0.80773974714770269</v>
      </c>
      <c r="C21" s="956">
        <f>IF(ISNUMBER(NºAsuntos!I21/NºAsuntos!G21),NºAsuntos!I21/NºAsuntos!G21," - ")</f>
        <v>3.5794999045619393</v>
      </c>
      <c r="D21" s="957">
        <f>IF(ISNUMBER('Resol  Asuntos'!D21/NºAsuntos!G21),'Resol  Asuntos'!D21/NºAsuntos!G21," - ")</f>
        <v>0.16987974804351977</v>
      </c>
      <c r="E21" s="958">
        <f>IF(ISNUMBER((NºAsuntos!C21+NºAsuntos!E21)/NºAsuntos!G21),(NºAsuntos!C21+NºAsuntos!E21)/NºAsuntos!G21," - ")</f>
        <v>4.7188394731819052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KYiYLjyEpsh7dMooKZ6L+OSOSruL0WCMBfLhwp1n9HCnyFGmjmug5KAyMgiRtEupzzCwE5bAgrqMDc/WpERKcQ==" saltValue="xgjqdYDOx2Zeu61R5GxPf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ARONA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462</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123</v>
      </c>
      <c r="Y9" s="344">
        <f>SUM(W9:X9)</f>
        <v>123</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11445</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421</v>
      </c>
      <c r="AJ9" s="234" t="str">
        <f>IF(ISNUMBER(Datos!BW9),Datos!BW9," - ")</f>
        <v xml:space="preserve"> - </v>
      </c>
      <c r="AK9" s="233" t="str">
        <f>IF(ISNUMBER(Datos!BX9),Datos!BX9," - ")</f>
        <v xml:space="preserve"> - </v>
      </c>
      <c r="AL9" s="248">
        <f>IF(ISNUMBER(NºAsuntos!G9/NºAsuntos!E9),NºAsuntos!G9/NºAsuntos!E9," - ")</f>
        <v>0.6674449633088726</v>
      </c>
      <c r="AM9" s="265">
        <f>IF(ISNUMBER(((NºAsuntos!I9/NºAsuntos!G9)*11)/factor_trimestre),((NºAsuntos!I9/NºAsuntos!G9)*11)/factor_trimestre," - ")</f>
        <v>20.42728635682159</v>
      </c>
      <c r="AN9" s="249">
        <f>IF(ISNUMBER('Resol  Asuntos'!D9/NºAsuntos!G9),'Resol  Asuntos'!D9/NºAsuntos!G9," - ")</f>
        <v>0.21039480259870064</v>
      </c>
      <c r="AO9" s="250">
        <f>IF(ISNUMBER((NºAsuntos!C9+NºAsuntos!E9)/NºAsuntos!G9),(NºAsuntos!C9+NºAsuntos!E9)/NºAsuntos!G9," - ")</f>
        <v>8.1744127936031976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28</v>
      </c>
      <c r="G10" s="343">
        <f>IF(ISNUMBER(Datos!I10),Datos!I10," - ")</f>
        <v>28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70</v>
      </c>
      <c r="AB10" s="344">
        <f>IF(ISNUMBER(Datos!R10),Datos!R10," - ")</f>
        <v>61</v>
      </c>
      <c r="AC10" s="344">
        <f t="shared" ref="AC10:AC13" si="1">IF(ISNUMBER(AA10+AB10),AA10+AB10," - ")</f>
        <v>131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0.125</v>
      </c>
      <c r="AM10" s="265">
        <f>IF(ISNUMBER(((NºAsuntos!I10/NºAsuntos!G10)*11)/factor_trimestre),((NºAsuntos!I10/NºAsuntos!G10)*11)/factor_trimestre," - ")</f>
        <v>34.999999999999993</v>
      </c>
      <c r="AN10" s="249">
        <f>IF(ISNUMBER('Resol  Asuntos'!D10/NºAsuntos!G10),'Resol  Asuntos'!D10/NºAsuntos!G10," - ")</f>
        <v>0.33333333333333331</v>
      </c>
      <c r="AO10" s="250">
        <f>IF(ISNUMBER((NºAsuntos!C10+NºAsuntos!E10)/NºAsuntos!G10),(NºAsuntos!C10+NºAsuntos!E10)/NºAsuntos!G10," - ")</f>
        <v>12.666666666666666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41</v>
      </c>
      <c r="Y12" s="344">
        <f t="shared" si="0"/>
        <v>41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656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28</v>
      </c>
      <c r="G14" s="1013">
        <f t="shared" si="5"/>
        <v>28</v>
      </c>
      <c r="H14" s="1012">
        <f t="shared" si="5"/>
        <v>0</v>
      </c>
      <c r="I14" s="1014">
        <f t="shared" si="5"/>
        <v>0</v>
      </c>
      <c r="J14" s="1014">
        <f t="shared" si="5"/>
        <v>0</v>
      </c>
      <c r="K14" s="1014">
        <f t="shared" si="5"/>
        <v>0</v>
      </c>
      <c r="L14" s="1014">
        <f t="shared" si="5"/>
        <v>469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164</v>
      </c>
      <c r="Y14" s="1015">
        <f t="shared" si="6"/>
        <v>170</v>
      </c>
      <c r="Z14" s="1015">
        <f t="shared" si="6"/>
        <v>0</v>
      </c>
      <c r="AA14" s="1015">
        <f t="shared" si="6"/>
        <v>70</v>
      </c>
      <c r="AB14" s="1015">
        <f t="shared" si="6"/>
        <v>12162</v>
      </c>
      <c r="AC14" s="1015">
        <f t="shared" si="6"/>
        <v>131</v>
      </c>
      <c r="AD14" s="1015">
        <f t="shared" si="6"/>
        <v>0</v>
      </c>
      <c r="AE14" s="1019">
        <f t="shared" si="6"/>
        <v>0</v>
      </c>
      <c r="AF14" s="1012">
        <f t="shared" si="6"/>
        <v>0</v>
      </c>
      <c r="AG14" s="1020">
        <f t="shared" si="6"/>
        <v>0</v>
      </c>
      <c r="AH14" s="1017">
        <f t="shared" si="6"/>
        <v>0</v>
      </c>
      <c r="AI14" s="1012">
        <f t="shared" si="6"/>
        <v>423</v>
      </c>
      <c r="AJ14" s="1014">
        <f t="shared" si="6"/>
        <v>0</v>
      </c>
      <c r="AK14" s="1017">
        <f>SUBTOTAL(9,AK9:AK13)</f>
        <v>0</v>
      </c>
      <c r="AL14" s="1021">
        <f>IF(ISNUMBER(NºAsuntos!G14/NºAsuntos!E14),NºAsuntos!G14/NºAsuntos!E14," - ")</f>
        <v>0.65889691398555483</v>
      </c>
      <c r="AM14" s="1021">
        <f>IF(ISNUMBER(((NºAsuntos!I14/NºAsuntos!G14)*11)/factor_trimestre),((NºAsuntos!I14/NºAsuntos!G14)*11)/factor_trimestre," - ")</f>
        <v>20.472346786248131</v>
      </c>
      <c r="AN14" s="1022">
        <f>IF(ISNUMBER('Resol  Asuntos'!D14/NºAsuntos!G14),'Resol  Asuntos'!D14/NºAsuntos!G14," - ")</f>
        <v>0.21076233183856502</v>
      </c>
      <c r="AO14" s="1023">
        <f>IF(ISNUMBER((NºAsuntos!C14+NºAsuntos!E14)/NºAsuntos!G14),(NºAsuntos!C14+NºAsuntos!E14)/NºAsuntos!G14," - ")</f>
        <v>8.1883408071748871</v>
      </c>
      <c r="AP14" s="1024" t="str">
        <f t="shared" si="2"/>
        <v xml:space="preserve"> - </v>
      </c>
      <c r="AQ14" s="1024">
        <f>IF(ISNUMBER((H14-W14+K14)/(F14)),(H14-W14+K14)/(F14)," - ")</f>
        <v>-0.21428571428571427</v>
      </c>
      <c r="AR14" s="1025">
        <f>IF(ISNUMBER((Datos!P14-Datos!Q14)/(Datos!R14-Datos!P14+Datos!Q14)),(Datos!P14-Datos!Q14)/(Datos!R14-Datos!P14+Datos!Q14)," - ")</f>
        <v>2.5723201484355234E-2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4777</v>
      </c>
      <c r="G16" s="343">
        <f>IF(ISNUMBER(IF(D_I="SI",Datos!I16,Datos!I16+Datos!AC16)),IF(D_I="SI",Datos!I16,Datos!I16+Datos!AC16)," - ")</f>
        <v>4776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74</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2903</v>
      </c>
      <c r="X16" s="231">
        <f>IF(ISNUMBER(Datos!Q16),Datos!Q16," - ")</f>
        <v>54</v>
      </c>
      <c r="Y16" s="344">
        <f>SUM(W16)</f>
        <v>2903</v>
      </c>
      <c r="Z16" s="345" t="str">
        <f>IF(ISNUMBER(Datos!CC16),Datos!CC16," - ")</f>
        <v xml:space="preserve"> - </v>
      </c>
      <c r="AA16" s="342">
        <f>IF(ISNUMBER(IF(D_I="SI",Datos!L16,Datos!L16+Datos!AF16)),IF(D_I="SI",Datos!L16,Datos!L16+Datos!AF16)," - ")</f>
        <v>4955</v>
      </c>
      <c r="AB16" s="344">
        <f>IF(ISNUMBER(Datos!R16),Datos!R16," - ")</f>
        <v>355</v>
      </c>
      <c r="AC16" s="344">
        <f t="shared" ref="AC16:AC19" si="8">IF(ISNUMBER(AA16+AB16),AA16+AB16," - ")</f>
        <v>5310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349</v>
      </c>
      <c r="AJ16" s="236" t="str">
        <f>IF(ISNUMBER(Datos!BW16),Datos!BW16," - ")</f>
        <v xml:space="preserve"> - </v>
      </c>
      <c r="AK16" s="237" t="str">
        <f>IF(ISNUMBER(Datos!BX16),Datos!BX16," - ")</f>
        <v xml:space="preserve"> - </v>
      </c>
      <c r="AL16" s="248">
        <f>IF(ISNUMBER(NºAsuntos!G16/NºAsuntos!E16),NºAsuntos!G16/NºAsuntos!E16," - ")</f>
        <v>0.94222654982148657</v>
      </c>
      <c r="AM16" s="265">
        <f>IF(ISNUMBER(((NºAsuntos!I16/NºAsuntos!G16)*11)/factor_trimestre),((NºAsuntos!I16/NºAsuntos!G16)*11)/factor_trimestre," - ")</f>
        <v>5.1205649328281089</v>
      </c>
      <c r="AN16" s="249">
        <f>IF(ISNUMBER('Resol  Asuntos'!D16/NºAsuntos!G16),'Resol  Asuntos'!D16/NºAsuntos!G16," - ")</f>
        <v>0.12022046159145712</v>
      </c>
      <c r="AO16" s="250">
        <f>IF(ISNUMBER((NºAsuntos!C16+NºAsuntos!E16)/NºAsuntos!G16),(NºAsuntos!C16+NºAsuntos!E16)/NºAsuntos!G16," - ")</f>
        <v>2.7065105063727177</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8</v>
      </c>
      <c r="G17" s="343">
        <f>IF(ISNUMBER(IF(D_I="SI",Datos!I17,Datos!I17+Datos!AC17)),IF(D_I="SI",Datos!I17,Datos!I17+Datos!AC17)," - ")</f>
        <v>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8</v>
      </c>
      <c r="AB17" s="344">
        <f>IF(ISNUMBER(Datos!R17),Datos!R17," - ")</f>
        <v>0</v>
      </c>
      <c r="AC17" s="344">
        <f t="shared" si="8"/>
        <v>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64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329</v>
      </c>
      <c r="X18" s="231">
        <f>IF(ISNUMBER(Datos!Q18),Datos!Q18," - ")</f>
        <v>24</v>
      </c>
      <c r="Y18" s="344">
        <f t="shared" si="9"/>
        <v>353</v>
      </c>
      <c r="Z18" s="345" t="str">
        <f>IF(ISNUMBER(Datos!CC18),Datos!CC18," - ")</f>
        <v xml:space="preserve"> - </v>
      </c>
      <c r="AA18" s="342">
        <f>IF(ISNUMBER(Datos!L18),Datos!L18,"-")</f>
        <v>94</v>
      </c>
      <c r="AB18" s="344">
        <f>IF(ISNUMBER(Datos!R18),Datos!R18," - ")</f>
        <v>10</v>
      </c>
      <c r="AC18" s="344">
        <f t="shared" si="8"/>
        <v>104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118</v>
      </c>
      <c r="AJ18" s="236" t="str">
        <f>IF(ISNUMBER(Datos!BW18),Datos!BW18," - ")</f>
        <v xml:space="preserve"> - </v>
      </c>
      <c r="AK18" s="237" t="str">
        <f>IF(ISNUMBER(Datos!BX18),Datos!BX18," - ")</f>
        <v xml:space="preserve"> - </v>
      </c>
      <c r="AL18" s="248">
        <f>IF(ISNUMBER(NºAsuntos!G18/NºAsuntos!E18),NºAsuntos!G18/NºAsuntos!E18," - ")</f>
        <v>0.91643454038997219</v>
      </c>
      <c r="AM18" s="265">
        <f>IF(ISNUMBER(((NºAsuntos!I18/NºAsuntos!G18)*11)/factor_trimestre),((NºAsuntos!I18/NºAsuntos!G18)*11)/factor_trimestre," - ")</f>
        <v>0.85714285714285721</v>
      </c>
      <c r="AN18" s="249">
        <f>IF(ISNUMBER('Resol  Asuntos'!D18/NºAsuntos!G18),'Resol  Asuntos'!D18/NºAsuntos!G18," - ")</f>
        <v>0.35866261398176291</v>
      </c>
      <c r="AO18" s="250">
        <f>IF(ISNUMBER((NºAsuntos!C18+NºAsuntos!E18)/NºAsuntos!G18),(NºAsuntos!C18+NºAsuntos!E18)/NºAsuntos!G18," - ")</f>
        <v>1.2857142857142858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4785</v>
      </c>
      <c r="G20" s="1013">
        <f>SUBTOTAL(9,G16:G19)</f>
        <v>4848</v>
      </c>
      <c r="H20" s="1012">
        <f t="shared" ref="H20:O20" si="12">SUBTOTAL(9,H15:H19)</f>
        <v>0</v>
      </c>
      <c r="I20" s="1014">
        <f t="shared" si="12"/>
        <v>0</v>
      </c>
      <c r="J20" s="1014">
        <f t="shared" si="12"/>
        <v>0</v>
      </c>
      <c r="K20" s="1014">
        <f t="shared" si="12"/>
        <v>0</v>
      </c>
      <c r="L20" s="1014">
        <f t="shared" si="12"/>
        <v>87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3232</v>
      </c>
      <c r="X20" s="1014">
        <f t="shared" si="13"/>
        <v>78</v>
      </c>
      <c r="Y20" s="1015">
        <f t="shared" si="13"/>
        <v>3256</v>
      </c>
      <c r="Z20" s="1015">
        <f t="shared" si="13"/>
        <v>0</v>
      </c>
      <c r="AA20" s="1015">
        <f t="shared" si="13"/>
        <v>5057</v>
      </c>
      <c r="AB20" s="1015">
        <f t="shared" si="13"/>
        <v>365</v>
      </c>
      <c r="AC20" s="1015">
        <f t="shared" si="13"/>
        <v>5422</v>
      </c>
      <c r="AD20" s="1015">
        <f t="shared" si="13"/>
        <v>0</v>
      </c>
      <c r="AE20" s="1019">
        <f t="shared" si="13"/>
        <v>0</v>
      </c>
      <c r="AF20" s="1012">
        <f t="shared" si="13"/>
        <v>0</v>
      </c>
      <c r="AG20" s="1020">
        <f t="shared" si="13"/>
        <v>0</v>
      </c>
      <c r="AH20" s="1017">
        <f t="shared" si="13"/>
        <v>0</v>
      </c>
      <c r="AI20" s="1012">
        <f t="shared" si="13"/>
        <v>467</v>
      </c>
      <c r="AJ20" s="1014">
        <f t="shared" si="13"/>
        <v>0</v>
      </c>
      <c r="AK20" s="1017">
        <f t="shared" si="13"/>
        <v>0</v>
      </c>
      <c r="AL20" s="1021">
        <f>IF(ISNUMBER(NºAsuntos!G20/NºAsuntos!E20),NºAsuntos!G20/NºAsuntos!E20," - ")</f>
        <v>0.93953488372093019</v>
      </c>
      <c r="AM20" s="1021">
        <f>IF(ISNUMBER(((NºAsuntos!I20/NºAsuntos!G20)*11)/factor_trimestre),((NºAsuntos!I20/NºAsuntos!G20)*11)/factor_trimestre," - ")</f>
        <v>4.6939975247524748</v>
      </c>
      <c r="AN20" s="1022">
        <f>IF(ISNUMBER('Resol  Asuntos'!D20/NºAsuntos!G20),'Resol  Asuntos'!D20/NºAsuntos!G20," - ")</f>
        <v>0.14449257425742573</v>
      </c>
      <c r="AO20" s="1023">
        <f>IF(ISNUMBER((NºAsuntos!C20+NºAsuntos!E20)/NºAsuntos!G20),(NºAsuntos!C20+NºAsuntos!E20)/NºAsuntos!G20," - ")</f>
        <v>2.5643564356435644</v>
      </c>
      <c r="AP20" s="1024" t="str">
        <f t="shared" si="2"/>
        <v xml:space="preserve"> - </v>
      </c>
      <c r="AQ20" s="1024">
        <f>IF(ISNUMBER((H20-W20+K20)/(F20)),(H20-W20+K20)/(F20)," - ")</f>
        <v>-0.67544409613375134</v>
      </c>
      <c r="AR20" s="1025">
        <f>IF(ISNUMBER((Datos!P20-Datos!Q20)/(Datos!R20-Datos!P20+Datos!Q20)),(Datos!P20-Datos!Q20)/(Datos!R20-Datos!P20+Datos!Q20)," - ")</f>
        <v>2.5280898876404494E-2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4813</v>
      </c>
      <c r="G21" s="968">
        <f t="shared" si="15"/>
        <v>4876</v>
      </c>
      <c r="H21" s="967">
        <f t="shared" si="15"/>
        <v>0</v>
      </c>
      <c r="I21" s="969">
        <f t="shared" si="15"/>
        <v>0</v>
      </c>
      <c r="J21" s="969">
        <f t="shared" si="15"/>
        <v>0</v>
      </c>
      <c r="K21" s="1028">
        <f t="shared" si="15"/>
        <v>0</v>
      </c>
      <c r="L21" s="969">
        <f t="shared" si="15"/>
        <v>556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3238</v>
      </c>
      <c r="X21" s="968">
        <f t="shared" si="16"/>
        <v>242</v>
      </c>
      <c r="Y21" s="975">
        <f t="shared" si="16"/>
        <v>3426</v>
      </c>
      <c r="Z21" s="975">
        <f t="shared" si="16"/>
        <v>0</v>
      </c>
      <c r="AA21" s="975">
        <f t="shared" si="16"/>
        <v>5127</v>
      </c>
      <c r="AB21" s="975">
        <f t="shared" si="16"/>
        <v>12527</v>
      </c>
      <c r="AC21" s="975">
        <f t="shared" si="16"/>
        <v>5553</v>
      </c>
      <c r="AD21" s="975">
        <f t="shared" si="16"/>
        <v>0</v>
      </c>
      <c r="AE21" s="977">
        <f t="shared" si="16"/>
        <v>0</v>
      </c>
      <c r="AF21" s="978">
        <f t="shared" si="16"/>
        <v>0</v>
      </c>
      <c r="AG21" s="979">
        <f t="shared" si="16"/>
        <v>0</v>
      </c>
      <c r="AH21" s="977">
        <f t="shared" si="16"/>
        <v>0</v>
      </c>
      <c r="AI21" s="967">
        <f t="shared" si="16"/>
        <v>890</v>
      </c>
      <c r="AJ21" s="967">
        <f t="shared" si="16"/>
        <v>0</v>
      </c>
      <c r="AK21" s="977">
        <f t="shared" si="16"/>
        <v>0</v>
      </c>
      <c r="AL21" s="1031">
        <f>IF(ISNUMBER(NºAsuntos!G21/NºAsuntos!E21),NºAsuntos!G21/NºAsuntos!E21," - ")</f>
        <v>0.80773974714770269</v>
      </c>
      <c r="AM21" s="1032">
        <f>IF(ISNUMBER(((NºAsuntos!I21/NºAsuntos!G21)*11)/factor_trimestre),((NºAsuntos!I21/NºAsuntos!G21)*11)/factor_trimestre," - ")</f>
        <v>10.738499713685819</v>
      </c>
      <c r="AN21" s="1032">
        <f>IF(ISNUMBER('Resol  Asuntos'!D21/NºAsuntos!G21),'Resol  Asuntos'!D21/NºAsuntos!G21," - ")</f>
        <v>0.16987974804351977</v>
      </c>
      <c r="AO21" s="1033">
        <f>IF(ISNUMBER((NºAsuntos!C21+NºAsuntos!E21)/NºAsuntos!G21),(NºAsuntos!C21+NºAsuntos!E21)/NºAsuntos!G21," - ")</f>
        <v>4.7188394731819052</v>
      </c>
      <c r="AP21" s="1034" t="str">
        <f t="shared" si="2"/>
        <v xml:space="preserve"> - </v>
      </c>
      <c r="AQ21" s="1035">
        <f>IF(OR(ISNUMBER(FIND("01",Criterios!A8,1)),ISNUMBER(FIND("02",Criterios!A8,1)),ISNUMBER(FIND("03",Criterios!A8,1)),ISNUMBER(FIND("04",Criterios!A8,1))),(I21-W21+K21)/(F21-K21),(H21-W21+K21)/(F21-K21))</f>
        <v>-0.67276127155620191</v>
      </c>
      <c r="AR21" s="1036">
        <f>IF(ISNUMBER((Datos!P21-Datos!Q21)/(Datos!R21-Datos!P21+Datos!Q21)),(Datos!P21-Datos!Q21)/(Datos!R21-Datos!P21+Datos!Q21)," - ")</f>
        <v>2.5710308687464177E-2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1625.3333333333333</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2.7502066038093145</v>
      </c>
      <c r="F23" s="257">
        <f>IF(ISNUMBER(STDEV(F8:F20)),STDEV(F8:F20),"-")</f>
        <v>2606.9911200462498</v>
      </c>
      <c r="G23" s="258">
        <f>IF(ISNUMBER(STDEV(G8:G20)),STDEV(G8:G20),"-")</f>
        <v>2468.5525043366338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1548.6628641078298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211.77413844538648</v>
      </c>
      <c r="AJ23" s="257">
        <f t="shared" si="20"/>
        <v>0</v>
      </c>
      <c r="AK23" s="259">
        <f t="shared" si="20"/>
        <v>0</v>
      </c>
      <c r="AL23" s="254">
        <f t="shared" si="20"/>
        <v>0.31491581939981422</v>
      </c>
      <c r="AM23" s="255">
        <f t="shared" si="20"/>
        <v>13.124633803010322</v>
      </c>
      <c r="AN23" s="255">
        <f t="shared" si="20"/>
        <v>9.7312492165323311E-2</v>
      </c>
      <c r="AO23" s="256">
        <f t="shared" si="20"/>
        <v>4.445401999323928</v>
      </c>
      <c r="AP23" s="296" t="str">
        <f t="shared" si="20"/>
        <v>-</v>
      </c>
      <c r="AQ23" s="297">
        <f t="shared" si="20"/>
        <v>0.32608821900576235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1qF65FY5qL0nGzGBlik1xCGCdeOVHNVCh1fE8/f9/0TCdbSxF24gYfrHfF4GHwCTa4uYIOXwaFKSEzonziWTg==" saltValue="JkVwgjR+L+rUNx5S7ldr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ARONA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-0.21013133208255161</v>
      </c>
      <c r="I9" s="360">
        <f>IF(ISNUMBER((Tasas!C9-Datos!BE9)/Datos!BE9),(Tasas!C9-Datos!BE9)/Datos!BE9," - ")</f>
        <v>0.16937776540101285</v>
      </c>
      <c r="J9" s="359">
        <f>IF(ISNUMBER((Tasas!D9-Datos!BF9)/Datos!BF9),(Tasas!D9-Datos!BF9)/Datos!BF9," - ")</f>
        <v>-0.41884689695202465</v>
      </c>
      <c r="K9" s="361">
        <f>IF(ISNUMBER((Tasas!E9-Datos!BG9)/Datos!BG9),(Tasas!E9-Datos!BG9)/Datos!BG9," - ")</f>
        <v>0.1980959646355597</v>
      </c>
      <c r="M9" t="e">
        <f>IF(Monitorios="SI",Datos!CE9,0)</f>
        <v>#REF!</v>
      </c>
      <c r="N9" t="e">
        <f>IF(Monitorios="SI",Datos!CF9,0)</f>
        <v>#REF!</v>
      </c>
      <c r="O9" t="e">
        <f>IF(Monitorios="SI",Datos!CG9,0)</f>
        <v>#REF!</v>
      </c>
      <c r="P9" t="e">
        <f>IF(Monitorios="SI",Datos!CH9,0)</f>
        <v>#REF!</v>
      </c>
      <c r="Q9">
        <f>IF(J_V="SI",0,Datos!AG9)</f>
        <v>349</v>
      </c>
      <c r="R9">
        <f>IF(J_V="SI",0,Datos!AH9)</f>
        <v>99</v>
      </c>
      <c r="S9">
        <f>IF(J_V="SI",0,Datos!AI9)</f>
        <v>91</v>
      </c>
      <c r="T9">
        <f>IF(J_V="SI",0,Datos!AJ9)</f>
        <v>357</v>
      </c>
    </row>
    <row r="10" spans="2:20" ht="14.25">
      <c r="B10" s="280" t="s">
        <v>273</v>
      </c>
      <c r="C10" s="7" t="str">
        <f>Datos!A10</f>
        <v>Jdos. Violencia contra la mujer</v>
      </c>
      <c r="D10" s="362">
        <f>IF(ISNUMBER((Datos!I10-Datos!S10)/Datos!S10),(Datos!I10-Datos!S10)/Datos!S10," - ")</f>
        <v>-0.40425531914893614</v>
      </c>
      <c r="E10" s="358">
        <f>IF(ISNUMBER((Datos!J10-Datos!T10)/Datos!T10),(Datos!J10-Datos!T10)/Datos!T10," - ")</f>
        <v>1</v>
      </c>
      <c r="F10" s="358">
        <f>IF(ISNUMBER((Datos!K10-Datos!U10)/Datos!U10),(Datos!K10-Datos!U10)/Datos!U10," - ")</f>
        <v>-0.81818181818181823</v>
      </c>
      <c r="G10" s="359">
        <f>IF(ISNUMBER((Datos!L10-Datos!V10)/Datos!V10),(Datos!L10-Datos!V10)/Datos!V10," - ")</f>
        <v>0.84210526315789469</v>
      </c>
      <c r="H10" s="235">
        <f>IF(ISNUMBER((Datos!M10-Datos!W10)/Datos!W10),(Datos!M10-Datos!W10)/Datos!W10," - ")</f>
        <v>-0.8571428571428571</v>
      </c>
      <c r="I10" s="360">
        <f>IF(ISNUMBER((Tasas!C10-Datos!BE10)/Datos!BE10),(Tasas!C10-Datos!BE10)/Datos!BE10," - ")</f>
        <v>9.1315789473684195</v>
      </c>
      <c r="J10" s="359">
        <f>IF(ISNUMBER((Tasas!D10-Datos!BF10)/Datos!BF10),(Tasas!D10-Datos!BF10)/Datos!BF10," - ")</f>
        <v>-0.21428571428571436</v>
      </c>
      <c r="K10" s="361">
        <f>IF(ISNUMBER((Tasas!E10-Datos!BG10)/Datos!BG10),(Tasas!E10-Datos!BG10)/Datos!BG10," - ")</f>
        <v>4.887323943661972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0</v>
      </c>
      <c r="S12">
        <f>IF(J_V="SI",0,Datos!AI12)</f>
        <v>0</v>
      </c>
      <c r="T12">
        <f>IF(J_V="SI",0,Datos!AJ12)</f>
        <v>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-0.22669104204753199</v>
      </c>
      <c r="I14" s="367">
        <f>IF(ISNUMBER((Tasas!C14-Datos!BE14)/Datos!BE14),(Tasas!C14-Datos!BE14)/Datos!BE14," - ")</f>
        <v>0.18588199641054598</v>
      </c>
      <c r="J14" s="365">
        <f>IF(ISNUMBER((Tasas!D14-Datos!BF14)/Datos!BF14),(Tasas!D14-Datos!BF14)/Datos!BF14," - ")</f>
        <v>-0.419301816336549</v>
      </c>
      <c r="K14" s="368">
        <f>IF(ISNUMBER((Tasas!E14-Datos!BG14)/Datos!BG14),(Tasas!E14-Datos!BG14)/Datos!BG14," - ")</f>
        <v>0.21220563135759357</v>
      </c>
      <c r="M14" t="e">
        <f>IF(Monitorios="SI",Datos!CE14,0)</f>
        <v>#REF!</v>
      </c>
      <c r="N14" t="e">
        <f>IF(Monitorios="SI",Datos!CF14,0)</f>
        <v>#REF!</v>
      </c>
      <c r="O14" t="e">
        <f>IF(Monitorios="SI",Datos!CG14,0)</f>
        <v>#REF!</v>
      </c>
      <c r="P14" t="e">
        <f>IF(Monitorios="SI",Datos!CH14,0)</f>
        <v>#REF!</v>
      </c>
      <c r="Q14">
        <f>IF(J_V="SI",0,Datos!AG14)</f>
        <v>350</v>
      </c>
      <c r="R14">
        <f>IF(J_V="SI",0,Datos!AH14)</f>
        <v>99</v>
      </c>
      <c r="S14">
        <f>IF(J_V="SI",0,Datos!AI14)</f>
        <v>91</v>
      </c>
      <c r="T14">
        <f>IF(J_V="SI",0,Datos!AJ14)</f>
        <v>358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0.38274464389114071</v>
      </c>
      <c r="E16" s="358">
        <f>IF(ISNUMBER(
   IF(D_I="SI",(Datos!J16-Datos!T16)/Datos!T16,(Datos!J16+Datos!AD16-(Datos!T16+Datos!AL16))/(Datos!T16+Datos!AL16))
     ),IF(D_I="SI",(Datos!J16-Datos!T16)/Datos!T16,(Datos!J16+Datos!AD16-(Datos!T16+Datos!AL16))/(Datos!T16+Datos!AL16))," - ")</f>
        <v>0.16527987897125568</v>
      </c>
      <c r="F16" s="358">
        <f>IF(ISNUMBER(
   IF(D_I="SI",(Datos!K16-Datos!U16)/Datos!U16,(Datos!K16+Datos!AE16-(Datos!U16+Datos!AM16))/(Datos!U16+Datos!AM16))
     ),IF(D_I="SI",(Datos!K16-Datos!U16)/Datos!U16,(Datos!K16+Datos!AE16-(Datos!U16+Datos!AM16))/(Datos!U16+Datos!AM16))," - ")</f>
        <v>0.11183454615090004</v>
      </c>
      <c r="G16" s="359">
        <f>IF(ISNUMBER(
   IF(D_I="SI",(Datos!L16-Datos!V16)/Datos!V16,(Datos!L16+Datos!AF16-(Datos!V16+Datos!AN16))/(Datos!V16+Datos!AN16))
     ),IF(D_I="SI",(Datos!L16-Datos!V16)/Datos!V16,(Datos!L16+Datos!AF16-(Datos!V16+Datos!AN16))/(Datos!V16+Datos!AN16))," - ")</f>
        <v>0.40887119704293434</v>
      </c>
      <c r="H16" s="235">
        <f>IF(ISNUMBER((Datos!M16-Datos!W16)/Datos!W16),(Datos!M16-Datos!W16)/Datos!W16," - ")</f>
        <v>-0.25586353944562901</v>
      </c>
      <c r="I16" s="360">
        <f>IF(ISNUMBER((Tasas!C16-Datos!BE16)/Datos!BE16),(Tasas!C16-Datos!BE16)/Datos!BE16," - ")</f>
        <v>0.26715904081264247</v>
      </c>
      <c r="J16" s="359">
        <f>IF(ISNUMBER((Tasas!D16-Datos!BF16)/Datos!BF16),(Tasas!D16-Datos!BF16)/Datos!BF16," - ")</f>
        <v>-0.33071295263263428</v>
      </c>
      <c r="K16" s="361">
        <f>IF(ISNUMBER((Tasas!E16-Datos!BG16)/Datos!BG16),(Tasas!E16-Datos!BG16)/Datos!BG16," - ")</f>
        <v>0.1588551872973378</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v>
      </c>
      <c r="E17" s="358">
        <f>IF(ISNUMBER(
   IF(D_I="SI",(Datos!J17-Datos!T17)/Datos!T17,(Datos!J17+Datos!AD17-(Datos!T17+Datos!AL17))/(Datos!T17+Datos!AL17))
     ),IF(D_I="SI",(Datos!J17-Datos!T17)/Datos!T17,(Datos!J17+Datos!AD17-(Datos!T17+Datos!AL17))/(Datos!T17+Datos!AL17))," - ")</f>
        <v>-1</v>
      </c>
      <c r="F17" s="358">
        <f>IF(ISNUMBER(
   IF(D_I="SI",(Datos!K17-Datos!U17)/Datos!U17,(Datos!K17+Datos!AE17-(Datos!U17+Datos!AM17))/(Datos!U17+Datos!AM17))
     ),IF(D_I="SI",(Datos!K17-Datos!U17)/Datos!U17,(Datos!K17+Datos!AE17-(Datos!U17+Datos!AM17))/(Datos!U17+Datos!AM17))," - ")</f>
        <v>-1</v>
      </c>
      <c r="G17" s="359">
        <f>IF(ISNUMBER(
   IF(D_I="SI",(Datos!L17-Datos!V17)/Datos!V17,(Datos!L17+Datos!AF17-(Datos!V17+Datos!AN17))/(Datos!V17+Datos!AN17))
     ),IF(D_I="SI",(Datos!L17-Datos!V17)/Datos!V17,(Datos!L17+Datos!AF17-(Datos!V17+Datos!AN17))/(Datos!V17+Datos!AN17))," - ")</f>
        <v>0</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-0.65957446808510634</v>
      </c>
      <c r="E18" s="358">
        <f>IF(ISNUMBER(
   IF(D_I="SI",(Datos!J18-Datos!T18)/Datos!T18,(Datos!J18+Datos!AD18-(Datos!T18+Datos!AL18))/(Datos!T18+Datos!AL18))
     ),IF(D_I="SI",(Datos!J18-Datos!T18)/Datos!T18,(Datos!J18+Datos!AD18-(Datos!T18+Datos!AL18))/(Datos!T18+Datos!AL18))," - ")</f>
        <v>0.45344129554655871</v>
      </c>
      <c r="F18" s="358">
        <f>IF(ISNUMBER(
   IF(D_I="SI",(Datos!K18-Datos!U18)/Datos!U18,(Datos!K18+Datos!AE18-(Datos!U18+Datos!AM18))/(Datos!U18+Datos!AM18))
     ),IF(D_I="SI",(Datos!K18-Datos!U18)/Datos!U18,(Datos!K18+Datos!AE18-(Datos!U18+Datos!AM18))/(Datos!U18+Datos!AM18))," - ")</f>
        <v>0.5161290322580645</v>
      </c>
      <c r="G18" s="359">
        <f>IF(ISNUMBER(
   IF(D_I="SI",(Datos!L18-Datos!V18)/Datos!V18,(Datos!L18+Datos!AF18-(Datos!V18+Datos!AN18))/(Datos!V18+Datos!AN18))
     ),IF(D_I="SI",(Datos!L18-Datos!V18)/Datos!V18,(Datos!L18+Datos!AF18-(Datos!V18+Datos!AN18))/(Datos!V18+Datos!AN18))," - ")</f>
        <v>-0.56880733944954132</v>
      </c>
      <c r="H18" s="235">
        <f>IF(ISNUMBER((Datos!M18-Datos!W18)/Datos!W18),(Datos!M18-Datos!W18)/Datos!W18," - ")</f>
        <v>0.73529411764705888</v>
      </c>
      <c r="I18" s="360">
        <f>IF(ISNUMBER((Tasas!C18-Datos!BE18)/Datos!BE18),(Tasas!C18-Datos!BE18)/Datos!BE18," - ")</f>
        <v>-0.7155963302752294</v>
      </c>
      <c r="J18" s="359">
        <f>IF(ISNUMBER((Tasas!D18-Datos!BF18)/Datos!BF18),(Tasas!D18-Datos!BF18)/Datos!BF18," - ")</f>
        <v>0.14455569461827292</v>
      </c>
      <c r="K18" s="361">
        <f>IF(ISNUMBER((Tasas!E18-Datos!BG18)/Datos!BG18),(Tasas!E18-Datos!BG18)/Datos!BG18," - ")</f>
        <v>-0.3586206896551723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0.32821917808219175</v>
      </c>
      <c r="E20" s="364">
        <f>IF(ISNUMBER(
   IF(D_I="SI",(Datos!J20-Datos!T20)/Datos!T20,(Datos!J20+Datos!AD20-(Datos!T20+Datos!AL20))/(Datos!T20+Datos!AL20))
     ),IF(D_I="SI",(Datos!J20-Datos!T20)/Datos!T20,(Datos!J20+Datos!AD20-(Datos!T20+Datos!AL20))/(Datos!T20+Datos!AL20))," - ")</f>
        <v>0.18948824343015214</v>
      </c>
      <c r="F20" s="364">
        <f>IF(ISNUMBER(
   IF(D_I="SI",(Datos!K20-Datos!U20)/Datos!U20,(Datos!K20+Datos!AE20-(Datos!U20+Datos!AM20))/(Datos!U20+Datos!AM20))
     ),IF(D_I="SI",(Datos!K20-Datos!U20)/Datos!U20,(Datos!K20+Datos!AE20-(Datos!U20+Datos!AM20))/(Datos!U20+Datos!AM20))," - ")</f>
        <v>0.14245316366207139</v>
      </c>
      <c r="G20" s="365">
        <f>IF(ISNUMBER(
   IF(D_I="SI",(Datos!L20-Datos!V20)/Datos!V20,(Datos!L20+Datos!AF20-(Datos!V20+Datos!AN20))/(Datos!V20+Datos!AN20))
     ),IF(D_I="SI",(Datos!L20-Datos!V20)/Datos!V20,(Datos!L20+Datos!AF20-(Datos!V20+Datos!AN20))/(Datos!V20+Datos!AN20))," - ")</f>
        <v>0.35105530323270107</v>
      </c>
      <c r="H20" s="366">
        <f>IF(ISNUMBER((Datos!M20-Datos!W20)/Datos!W20),(Datos!M20-Datos!W20)/Datos!W20," - ")</f>
        <v>-0.13035381750465549</v>
      </c>
      <c r="I20" s="367">
        <f>IF(ISNUMBER((Tasas!C20-Datos!BE20)/Datos!BE20),(Tasas!C20-Datos!BE20)/Datos!BE20," - ")</f>
        <v>0.18259141486550456</v>
      </c>
      <c r="J20" s="365">
        <f>IF(ISNUMBER((Tasas!D20-Datos!BF20)/Datos!BF20),(Tasas!D20-Datos!BF20)/Datos!BF20," - ")</f>
        <v>-0.23879051662149456</v>
      </c>
      <c r="K20" s="368">
        <f>IF(ISNUMBER((Tasas!E20-Datos!BG20)/Datos!BG20),(Tasas!E20-Datos!BG20)/Datos!BG20," - ")</f>
        <v>0.1089214852393218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0.13861138861138861</v>
      </c>
      <c r="E21" s="373">
        <f>IF(ISNUMBER(
   IF(J_V="SI",(Datos!J21-Datos!T21)/Datos!T21,(Datos!J21+Datos!Z21-(Datos!T21+Datos!AH21))/(Datos!T21+Datos!AH21))
     ),IF(J_V="SI",(Datos!J21-Datos!T21)/Datos!T21,(Datos!J21+Datos!Z21-(Datos!T21+Datos!AH21))/(Datos!T21+Datos!AH21))," - ")</f>
        <v>0.1465441046491073</v>
      </c>
      <c r="F21" s="373">
        <f>IF(ISNUMBER(
   IF(J_V="SI",(Datos!K21-Datos!U21)/Datos!U21,(Datos!K21+Datos!AA21-(Datos!U21+Datos!AI21))/(Datos!U21+Datos!AI21))
     ),IF(J_V="SI",(Datos!K21-Datos!U21)/Datos!U21,(Datos!K21+Datos!AA21-(Datos!U21+Datos!AI21))/(Datos!U21+Datos!AI21))," - ")</f>
        <v>3.3537186821858356E-2</v>
      </c>
      <c r="G21" s="374">
        <f>IF(ISNUMBER(
   IF(J_V="SI",(Datos!L21-Datos!V21)/Datos!V21,(Datos!L21+Datos!AB21-(Datos!V21+Datos!AJ21))/(Datos!V21+Datos!AJ21))
     ),IF(J_V="SI",(Datos!L21-Datos!V21)/Datos!V21,(Datos!L21+Datos!AB21-(Datos!V21+Datos!AJ21))/(Datos!V21+Datos!AJ21))," - ")</f>
        <v>0.12745746407743641</v>
      </c>
      <c r="H21" s="375">
        <f>IF(ISNUMBER((Datos!M21-Datos!W21)/Datos!W21),(Datos!M21-Datos!W21)/Datos!W21," - ")</f>
        <v>-0.17896678966789667</v>
      </c>
      <c r="I21" s="372">
        <f>IF(ISNUMBER((Tasas!C21-Datos!BE21)/Datos!BE21),(Tasas!C21-Datos!BE21)/Datos!BE21," - ")</f>
        <v>9.0872663754251778E-2</v>
      </c>
      <c r="J21" s="373">
        <f>IF(ISNUMBER((Tasas!D21-Datos!BF21)/Datos!BF21),(Tasas!D21-Datos!BF21)/Datos!BF21," - ")</f>
        <v>-0.36213300530918391</v>
      </c>
      <c r="K21" s="374">
        <f>IF(ISNUMBER((Tasas!E21-Datos!BG21)/Datos!BG21),(Tasas!E21-Datos!BG21)/Datos!BG21," - ")</f>
        <v>0.10366803347755621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0.45491187482038492</v>
      </c>
      <c r="E23" s="283">
        <f t="shared" si="1"/>
        <v>0.73112785281474224</v>
      </c>
      <c r="F23" s="283">
        <f t="shared" si="1"/>
        <v>0.6612579307935702</v>
      </c>
      <c r="G23" s="284">
        <f t="shared" si="1"/>
        <v>0.52668491607544854</v>
      </c>
      <c r="H23" s="290">
        <f t="shared" si="1"/>
        <v>0.51079373929519245</v>
      </c>
      <c r="I23" s="282">
        <f t="shared" si="1"/>
        <v>3.7388406908887228</v>
      </c>
      <c r="J23" s="283">
        <f t="shared" si="1"/>
        <v>0.21008429661881861</v>
      </c>
      <c r="K23" s="284">
        <f t="shared" si="1"/>
        <v>1.9807820304330153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1QOivvsqlHcCTHoBIi6L5zMoaRuqKWwTqOPd6jJsY6b8tyFk1BegzlXWQ8+TS92w0jyj/fCNoP+lqR1Xnz8Cw==" saltValue="h6joOlG1P9gQwg9pRmVc/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